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21312" windowHeight="11028" tabRatio="730"/>
  </bookViews>
  <sheets>
    <sheet name="Sammelsurium" sheetId="1" r:id="rId1"/>
    <sheet name="Phys. Konstanten" sheetId="7" r:id="rId2"/>
    <sheet name="Tempolimit" sheetId="2" r:id="rId3"/>
    <sheet name="Zwillings-Paradoxon" sheetId="4" r:id="rId4"/>
    <sheet name="Lorentz-T." sheetId="8" r:id="rId5"/>
    <sheet name="Fernreisen" sheetId="3" state="hidden" r:id="rId6"/>
    <sheet name="ART" sheetId="13" r:id="rId7"/>
    <sheet name="Tabelle8" sheetId="11" state="hidden" r:id="rId8"/>
    <sheet name="Tabelle1" sheetId="12" state="hidden" r:id="rId9"/>
    <sheet name="TÜV-Hessen" sheetId="14" r:id="rId10"/>
    <sheet name="Astronomie" sheetId="16" r:id="rId11"/>
    <sheet name="Atomphysik" sheetId="10" r:id="rId12"/>
    <sheet name="Galilei" sheetId="17" r:id="rId13"/>
    <sheet name="Kepler - Newton" sheetId="15" r:id="rId14"/>
    <sheet name="Tabelle2" sheetId="18" state="hidden" r:id="rId15"/>
    <sheet name="Tabelle3" sheetId="20" state="hidden" r:id="rId16"/>
  </sheets>
  <definedNames>
    <definedName name="_xlnm.Print_Area" localSheetId="10">Astronomie!$A$1:$J$494</definedName>
    <definedName name="_xlnm.Print_Area" localSheetId="11">Atomphysik!$A$1:$H$535</definedName>
    <definedName name="_xlnm.Print_Area" localSheetId="5">Fernreisen!$A$1:$J$188</definedName>
    <definedName name="_xlnm.Print_Area" localSheetId="12">Galilei!$A$1:$I$76</definedName>
    <definedName name="_xlnm.Print_Area" localSheetId="13">'Kepler - Newton'!$A$1:$G$192</definedName>
    <definedName name="_xlnm.Print_Area" localSheetId="4">'Lorentz-T.'!$A$1:$I$78</definedName>
    <definedName name="_xlnm.Print_Area" localSheetId="1">'Phys. Konstanten'!$B$1:$F$113</definedName>
    <definedName name="_xlnm.Print_Area" localSheetId="0">Sammelsurium!$A$1:$H$557</definedName>
    <definedName name="_xlnm.Print_Area" localSheetId="2">Tempolimit!$A$1:$K$115</definedName>
    <definedName name="_xlnm.Print_Area" localSheetId="9">'TÜV-Hessen'!$A$1:$L$74</definedName>
    <definedName name="_xlnm.Print_Area" localSheetId="3">'Zwillings-Paradoxon'!$A$1:$H$76</definedName>
    <definedName name="OLE_LINK1" localSheetId="4">'Lorentz-T.'!#REF!</definedName>
    <definedName name="OLE_LINK2" localSheetId="11">Atomphysik!$L$21</definedName>
  </definedNames>
  <calcPr calcId="145621"/>
</workbook>
</file>

<file path=xl/calcChain.xml><?xml version="1.0" encoding="utf-8"?>
<calcChain xmlns="http://schemas.openxmlformats.org/spreadsheetml/2006/main">
  <c r="D25" i="7" l="1"/>
  <c r="D532" i="10" l="1"/>
  <c r="D521" i="10" s="1"/>
  <c r="D517" i="10" l="1"/>
  <c r="D518" i="10" s="1"/>
  <c r="D530" i="10" l="1"/>
  <c r="D406" i="16"/>
  <c r="D531" i="10" l="1"/>
  <c r="D534" i="10" s="1"/>
  <c r="D533" i="10"/>
  <c r="D136" i="1"/>
  <c r="D35" i="15" l="1"/>
  <c r="D39" i="15"/>
  <c r="D101" i="15"/>
  <c r="F12" i="17" l="1"/>
  <c r="E13" i="17" l="1"/>
  <c r="E14" i="17"/>
  <c r="E15" i="17" s="1"/>
  <c r="E16" i="17" s="1"/>
  <c r="E17" i="17" s="1"/>
  <c r="E18" i="17" s="1"/>
  <c r="E19" i="17" s="1"/>
  <c r="E20" i="17" s="1"/>
  <c r="F13" i="17" l="1"/>
  <c r="G13" i="17" l="1"/>
  <c r="H13" i="17" s="1"/>
  <c r="F14" i="17"/>
  <c r="G14" i="17" s="1"/>
  <c r="F15" i="17" l="1"/>
  <c r="G15" i="17" s="1"/>
  <c r="D145" i="15"/>
  <c r="F16" i="17" l="1"/>
  <c r="G16" i="17" s="1"/>
  <c r="D9" i="1"/>
  <c r="D351" i="1" s="1"/>
  <c r="D354" i="1" l="1"/>
  <c r="D362" i="1" s="1"/>
  <c r="D364" i="1"/>
  <c r="D11" i="1"/>
  <c r="D309" i="1"/>
  <c r="D222" i="1"/>
  <c r="F214" i="1"/>
  <c r="D458" i="1"/>
  <c r="D215" i="1"/>
  <c r="F457" i="1"/>
  <c r="F80" i="1"/>
  <c r="D92" i="1"/>
  <c r="D48" i="1"/>
  <c r="F81" i="1"/>
  <c r="F17" i="17"/>
  <c r="G17" i="17" s="1"/>
  <c r="H17" i="17" s="1"/>
  <c r="F18" i="17" l="1"/>
  <c r="G18" i="17" s="1"/>
  <c r="D22" i="7"/>
  <c r="F19" i="17" l="1"/>
  <c r="G19" i="17" s="1"/>
  <c r="D249" i="1"/>
  <c r="D247" i="1"/>
  <c r="F20" i="17" l="1"/>
  <c r="G20" i="17" s="1"/>
  <c r="D146" i="1"/>
  <c r="D314" i="1"/>
  <c r="D271" i="1"/>
  <c r="D123" i="1"/>
  <c r="D273" i="1"/>
  <c r="D237" i="1"/>
  <c r="D366" i="1"/>
  <c r="D240" i="1"/>
  <c r="D358" i="1" l="1"/>
  <c r="D176" i="15"/>
  <c r="D6" i="7" l="1"/>
  <c r="D141" i="15" l="1"/>
  <c r="D137" i="15"/>
  <c r="D133" i="15"/>
  <c r="D178" i="15" l="1"/>
  <c r="D184" i="15" s="1"/>
  <c r="D187" i="15" s="1"/>
  <c r="D190" i="15" s="1"/>
  <c r="G7" i="16"/>
  <c r="D53" i="7" l="1"/>
  <c r="D34" i="7"/>
  <c r="D27" i="7"/>
  <c r="D186" i="15" l="1"/>
  <c r="H31" i="14"/>
  <c r="D188" i="15" l="1"/>
  <c r="F9" i="16"/>
  <c r="G74" i="17" l="1"/>
  <c r="D413" i="16" l="1"/>
  <c r="B62" i="14" l="1"/>
  <c r="D435" i="1" l="1"/>
  <c r="D204" i="1"/>
  <c r="D544" i="1" l="1"/>
  <c r="F550" i="1"/>
  <c r="D555" i="1" s="1"/>
  <c r="D556" i="1" s="1"/>
  <c r="H97" i="16" l="1"/>
  <c r="D118" i="10" l="1"/>
  <c r="D53" i="1"/>
  <c r="D54" i="1" s="1"/>
  <c r="D25" i="8"/>
  <c r="D24" i="8"/>
  <c r="F61" i="8" s="1"/>
  <c r="D68" i="8"/>
  <c r="D61" i="8"/>
  <c r="D55" i="1" l="1"/>
  <c r="D56" i="1" s="1"/>
  <c r="F68" i="8"/>
  <c r="F36" i="8" l="1"/>
  <c r="F74" i="8" s="1"/>
  <c r="D36" i="8" l="1"/>
  <c r="D60" i="8"/>
  <c r="F60" i="8" s="1"/>
  <c r="D53" i="8" l="1"/>
  <c r="F53" i="8" s="1"/>
  <c r="G9" i="16" l="1"/>
  <c r="I9" i="16" s="1"/>
  <c r="F91" i="16"/>
  <c r="H393" i="16" s="1"/>
  <c r="H337" i="16" l="1"/>
  <c r="F89" i="16"/>
  <c r="F285" i="16"/>
  <c r="F287" i="16" s="1"/>
  <c r="H238" i="16"/>
  <c r="F243" i="16" s="1"/>
  <c r="H68" i="16"/>
  <c r="G59" i="16"/>
  <c r="G60" i="16" s="1"/>
  <c r="G64" i="16" s="1"/>
  <c r="G65" i="16" s="1"/>
  <c r="G14" i="16"/>
  <c r="G13" i="16"/>
  <c r="G12" i="16"/>
  <c r="G11" i="16"/>
  <c r="G10" i="16"/>
  <c r="G8" i="16"/>
  <c r="F14" i="16"/>
  <c r="F13" i="16"/>
  <c r="F12" i="16"/>
  <c r="F11" i="16"/>
  <c r="F10" i="16"/>
  <c r="F7" i="16"/>
  <c r="F8" i="16"/>
  <c r="F6" i="16"/>
  <c r="D22" i="13"/>
  <c r="D42" i="13" s="1"/>
  <c r="D20" i="13"/>
  <c r="D54" i="8"/>
  <c r="F54" i="8" s="1"/>
  <c r="D108" i="15"/>
  <c r="D62" i="14"/>
  <c r="B63" i="14"/>
  <c r="D63" i="14" s="1"/>
  <c r="J112" i="2"/>
  <c r="J30" i="2"/>
  <c r="G30" i="2" s="1"/>
  <c r="J36" i="2"/>
  <c r="G36" i="2" s="1"/>
  <c r="J35" i="2"/>
  <c r="G35" i="2" s="1"/>
  <c r="J34" i="2"/>
  <c r="G34" i="2" s="1"/>
  <c r="J33" i="2"/>
  <c r="G33" i="2" s="1"/>
  <c r="J32" i="2"/>
  <c r="G32" i="2" s="1"/>
  <c r="J31" i="2"/>
  <c r="G31" i="2" s="1"/>
  <c r="D29" i="8"/>
  <c r="F67" i="8" s="1"/>
  <c r="D78" i="8"/>
  <c r="D69" i="8"/>
  <c r="F69" i="8" s="1"/>
  <c r="D76" i="8"/>
  <c r="F76" i="8" s="1"/>
  <c r="D75" i="8"/>
  <c r="F75" i="8" s="1"/>
  <c r="D73" i="14"/>
  <c r="D72" i="14"/>
  <c r="D71" i="14"/>
  <c r="D70" i="14"/>
  <c r="D69" i="14"/>
  <c r="D68" i="14"/>
  <c r="D67" i="14"/>
  <c r="D66" i="14"/>
  <c r="D65" i="14"/>
  <c r="H32" i="14"/>
  <c r="D64" i="14"/>
  <c r="D24" i="13"/>
  <c r="D28" i="13"/>
  <c r="D112" i="1"/>
  <c r="D14" i="4"/>
  <c r="D17" i="4" s="1"/>
  <c r="E95" i="2"/>
  <c r="D36" i="2"/>
  <c r="D35" i="2"/>
  <c r="D34" i="2"/>
  <c r="D33" i="2"/>
  <c r="D32" i="2"/>
  <c r="D31" i="2"/>
  <c r="D30" i="2"/>
  <c r="D90" i="1"/>
  <c r="D276" i="1"/>
  <c r="D9" i="7"/>
  <c r="D90" i="10"/>
  <c r="D91" i="10" s="1"/>
  <c r="D69" i="10"/>
  <c r="D201" i="1"/>
  <c r="D185" i="10"/>
  <c r="D191" i="10" s="1"/>
  <c r="D80" i="7"/>
  <c r="D54" i="10"/>
  <c r="D55" i="10" s="1"/>
  <c r="D75" i="10"/>
  <c r="D76" i="10" s="1"/>
  <c r="D71" i="8"/>
  <c r="H118" i="3"/>
  <c r="D328" i="1"/>
  <c r="D330" i="1" s="1"/>
  <c r="D104" i="1"/>
  <c r="D105" i="1" s="1"/>
  <c r="D17" i="7"/>
  <c r="D68" i="7"/>
  <c r="D75" i="7" s="1"/>
  <c r="D241" i="1"/>
  <c r="D238" i="1"/>
  <c r="D228" i="1"/>
  <c r="D231" i="1" s="1"/>
  <c r="D506" i="1"/>
  <c r="F10" i="4"/>
  <c r="H120" i="3"/>
  <c r="H22" i="3"/>
  <c r="H20" i="3"/>
  <c r="D86" i="3" s="1"/>
  <c r="D438" i="1"/>
  <c r="D445" i="1" s="1"/>
  <c r="D462" i="1"/>
  <c r="D464" i="1" s="1"/>
  <c r="D254" i="1"/>
  <c r="D160" i="1"/>
  <c r="D161" i="1" s="1"/>
  <c r="D170" i="1"/>
  <c r="D285" i="1" l="1"/>
  <c r="D287" i="1"/>
  <c r="D333" i="1"/>
  <c r="D334" i="1" s="1"/>
  <c r="D516" i="1"/>
  <c r="D507" i="1"/>
  <c r="D517" i="1" s="1"/>
  <c r="D522" i="1"/>
  <c r="D467" i="1"/>
  <c r="D316" i="1"/>
  <c r="D318" i="1" s="1"/>
  <c r="K62" i="14"/>
  <c r="K64" i="14"/>
  <c r="D171" i="1"/>
  <c r="D172" i="1" s="1"/>
  <c r="D173" i="1"/>
  <c r="D174" i="1" s="1"/>
  <c r="D106" i="7"/>
  <c r="D107" i="7" s="1"/>
  <c r="D90" i="7"/>
  <c r="D223" i="1"/>
  <c r="C63" i="14"/>
  <c r="J63" i="14" s="1"/>
  <c r="K65" i="14"/>
  <c r="K63" i="14"/>
  <c r="K66" i="14"/>
  <c r="K72" i="14"/>
  <c r="K68" i="14"/>
  <c r="K69" i="14"/>
  <c r="K70" i="14"/>
  <c r="K71" i="14"/>
  <c r="K67" i="14"/>
  <c r="K73" i="14"/>
  <c r="D67" i="8"/>
  <c r="H7" i="16"/>
  <c r="I7" i="16" s="1"/>
  <c r="F244" i="16"/>
  <c r="H338" i="16" s="1"/>
  <c r="H386" i="16"/>
  <c r="D395" i="16" s="1"/>
  <c r="D396" i="16" s="1"/>
  <c r="D399" i="16" s="1"/>
  <c r="D403" i="16" s="1"/>
  <c r="H9" i="16"/>
  <c r="H13" i="16"/>
  <c r="I13" i="16" s="1"/>
  <c r="H11" i="16"/>
  <c r="I11" i="16" s="1"/>
  <c r="H8" i="16"/>
  <c r="I8" i="16" s="1"/>
  <c r="H10" i="16"/>
  <c r="I10" i="16" s="1"/>
  <c r="H12" i="16"/>
  <c r="I12" i="16" s="1"/>
  <c r="H14" i="16"/>
  <c r="I14" i="16" s="1"/>
  <c r="D62" i="13"/>
  <c r="D110" i="15"/>
  <c r="D54" i="13"/>
  <c r="D55" i="13" s="1"/>
  <c r="D109" i="13"/>
  <c r="C66" i="14"/>
  <c r="I66" i="14" s="1"/>
  <c r="C67" i="14"/>
  <c r="I67" i="14" s="1"/>
  <c r="C69" i="14"/>
  <c r="I69" i="14" s="1"/>
  <c r="C71" i="14"/>
  <c r="I71" i="14" s="1"/>
  <c r="C68" i="14"/>
  <c r="J68" i="14" s="1"/>
  <c r="C70" i="14"/>
  <c r="I70" i="14" s="1"/>
  <c r="C72" i="14"/>
  <c r="H72" i="14" s="1"/>
  <c r="C73" i="14"/>
  <c r="J73" i="14" s="1"/>
  <c r="C65" i="14"/>
  <c r="J65" i="14" s="1"/>
  <c r="C62" i="14"/>
  <c r="G62" i="14" s="1"/>
  <c r="C64" i="14"/>
  <c r="I64" i="14" s="1"/>
  <c r="D43" i="13"/>
  <c r="D48" i="13"/>
  <c r="D49" i="13" s="1"/>
  <c r="D67" i="4"/>
  <c r="D73" i="4" s="1"/>
  <c r="E96" i="2"/>
  <c r="E97" i="2" s="1"/>
  <c r="E112" i="2" s="1"/>
  <c r="F112" i="2" s="1"/>
  <c r="G112" i="2" s="1"/>
  <c r="D45" i="10"/>
  <c r="D93" i="10"/>
  <c r="D95" i="10" s="1"/>
  <c r="D56" i="10"/>
  <c r="D126" i="3"/>
  <c r="D124" i="3"/>
  <c r="D132" i="3" s="1"/>
  <c r="D70" i="4"/>
  <c r="D75" i="4" s="1"/>
  <c r="D147" i="1"/>
  <c r="D148" i="1" s="1"/>
  <c r="D149" i="1" s="1"/>
  <c r="D101" i="7"/>
  <c r="D102" i="7" s="1"/>
  <c r="D95" i="7"/>
  <c r="D96" i="7" s="1"/>
  <c r="D70" i="7"/>
  <c r="D51" i="3"/>
  <c r="D68" i="3" s="1"/>
  <c r="E30" i="2"/>
  <c r="F30" i="2" s="1"/>
  <c r="E31" i="2"/>
  <c r="E32" i="2"/>
  <c r="E33" i="2"/>
  <c r="E34" i="2"/>
  <c r="E35" i="2"/>
  <c r="E36" i="2"/>
  <c r="F43" i="3"/>
  <c r="F51" i="3"/>
  <c r="D43" i="3"/>
  <c r="D224" i="1"/>
  <c r="D257" i="1"/>
  <c r="D260" i="1" s="1"/>
  <c r="D245" i="1"/>
  <c r="D259" i="1" s="1"/>
  <c r="H63" i="14" l="1"/>
  <c r="D125" i="1"/>
  <c r="D127" i="1" s="1"/>
  <c r="D97" i="7"/>
  <c r="D103" i="7"/>
  <c r="D414" i="16"/>
  <c r="D416" i="16" s="1"/>
  <c r="G67" i="14"/>
  <c r="D113" i="13"/>
  <c r="D110" i="13"/>
  <c r="D111" i="13" s="1"/>
  <c r="D112" i="13" s="1"/>
  <c r="F72" i="14"/>
  <c r="F69" i="14"/>
  <c r="G69" i="14"/>
  <c r="F70" i="14"/>
  <c r="F67" i="14"/>
  <c r="E66" i="14"/>
  <c r="E71" i="14"/>
  <c r="G248" i="16"/>
  <c r="G249" i="16" s="1"/>
  <c r="F68" i="14"/>
  <c r="F71" i="14"/>
  <c r="F288" i="16"/>
  <c r="G73" i="14"/>
  <c r="F66" i="14"/>
  <c r="G68" i="14"/>
  <c r="G66" i="14"/>
  <c r="H66" i="14"/>
  <c r="H68" i="14"/>
  <c r="I68" i="14"/>
  <c r="E68" i="14"/>
  <c r="F73" i="14"/>
  <c r="J69" i="14"/>
  <c r="J70" i="14"/>
  <c r="J66" i="14"/>
  <c r="J71" i="14"/>
  <c r="J67" i="14"/>
  <c r="J72" i="14"/>
  <c r="J64" i="14"/>
  <c r="F33" i="2"/>
  <c r="H33" i="2" s="1"/>
  <c r="I33" i="2" s="1"/>
  <c r="F35" i="2"/>
  <c r="F36" i="2"/>
  <c r="H36" i="2" s="1"/>
  <c r="I36" i="2" s="1"/>
  <c r="F34" i="2"/>
  <c r="H34" i="2" s="1"/>
  <c r="I34" i="2" s="1"/>
  <c r="F32" i="2"/>
  <c r="H32" i="2" s="1"/>
  <c r="I32" i="2" s="1"/>
  <c r="F31" i="2"/>
  <c r="E72" i="14"/>
  <c r="G70" i="14"/>
  <c r="H70" i="14"/>
  <c r="E70" i="14"/>
  <c r="G72" i="14"/>
  <c r="I72" i="14"/>
  <c r="E67" i="14"/>
  <c r="H67" i="14"/>
  <c r="E69" i="14"/>
  <c r="H69" i="14"/>
  <c r="G71" i="14"/>
  <c r="H71" i="14"/>
  <c r="H73" i="14"/>
  <c r="I73" i="14"/>
  <c r="E73" i="14"/>
  <c r="F65" i="14"/>
  <c r="I65" i="14"/>
  <c r="G65" i="14"/>
  <c r="E65" i="14"/>
  <c r="H65" i="14"/>
  <c r="F62" i="14"/>
  <c r="I62" i="14"/>
  <c r="E64" i="14"/>
  <c r="J62" i="14"/>
  <c r="H62" i="14"/>
  <c r="E62" i="14"/>
  <c r="H64" i="14"/>
  <c r="G64" i="14"/>
  <c r="F64" i="14"/>
  <c r="F63" i="14"/>
  <c r="I63" i="14"/>
  <c r="G63" i="14"/>
  <c r="E63" i="14"/>
  <c r="D92" i="13"/>
  <c r="D93" i="13" s="1"/>
  <c r="D102" i="13"/>
  <c r="D103" i="13" s="1"/>
  <c r="D90" i="13"/>
  <c r="D91" i="13" s="1"/>
  <c r="D100" i="13"/>
  <c r="D101" i="13" s="1"/>
  <c r="D74" i="13"/>
  <c r="D75" i="13" s="1"/>
  <c r="D82" i="13"/>
  <c r="D83" i="13" s="1"/>
  <c r="D58" i="10"/>
  <c r="D64" i="10"/>
  <c r="D65" i="10" s="1"/>
  <c r="D130" i="3"/>
  <c r="H130" i="3" s="1"/>
  <c r="D128" i="3"/>
  <c r="D134" i="3" s="1"/>
  <c r="H132" i="3"/>
  <c r="H124" i="3"/>
  <c r="H126" i="3"/>
  <c r="F68" i="3"/>
  <c r="H30" i="2"/>
  <c r="I30" i="2" s="1"/>
  <c r="D78" i="3"/>
  <c r="D61" i="3"/>
  <c r="F61" i="3"/>
  <c r="H58" i="3"/>
  <c r="F86" i="3"/>
  <c r="F78" i="3"/>
  <c r="D251" i="1"/>
  <c r="D124" i="10" l="1"/>
  <c r="D135" i="10"/>
  <c r="D127" i="10"/>
  <c r="D131" i="10" s="1"/>
  <c r="D108" i="7"/>
  <c r="D409" i="16"/>
  <c r="D410" i="16" s="1"/>
  <c r="H31" i="2"/>
  <c r="I31" i="2" s="1"/>
  <c r="H35" i="2"/>
  <c r="I35" i="2" s="1"/>
  <c r="D136" i="3"/>
  <c r="H128" i="3"/>
  <c r="D142" i="3"/>
  <c r="D144" i="3" s="1"/>
  <c r="H74" i="3"/>
  <c r="F94" i="3"/>
  <c r="F104" i="3"/>
  <c r="D151" i="10" l="1"/>
  <c r="D152" i="10" s="1"/>
  <c r="D136" i="10"/>
  <c r="D139" i="10"/>
  <c r="D140" i="3"/>
  <c r="D146" i="3"/>
  <c r="D148" i="3" s="1"/>
  <c r="D138" i="3"/>
  <c r="H111" i="3"/>
  <c r="H101" i="3"/>
  <c r="D153" i="10" l="1"/>
  <c r="D148" i="10"/>
  <c r="D149" i="10" s="1"/>
  <c r="D140" i="10"/>
  <c r="D93" i="1"/>
  <c r="D31" i="8" l="1"/>
  <c r="F52" i="8" s="1"/>
  <c r="D52" i="8" s="1"/>
  <c r="D63" i="8" l="1"/>
  <c r="D74" i="8" s="1"/>
  <c r="F59" i="8"/>
  <c r="D59" i="8" s="1"/>
  <c r="D56" i="8"/>
  <c r="H112" i="2"/>
  <c r="I112" i="2" s="1"/>
  <c r="H14" i="17" l="1"/>
  <c r="H15" i="17"/>
  <c r="H16" i="17" l="1"/>
  <c r="H18" i="17" l="1"/>
  <c r="H19" i="17" l="1"/>
  <c r="H20" i="17" l="1"/>
</calcChain>
</file>

<file path=xl/sharedStrings.xml><?xml version="1.0" encoding="utf-8"?>
<sst xmlns="http://schemas.openxmlformats.org/spreadsheetml/2006/main" count="3792" uniqueCount="3004">
  <si>
    <t>s</t>
  </si>
  <si>
    <t>t =</t>
  </si>
  <si>
    <t>t' =</t>
  </si>
  <si>
    <t>Eingabe</t>
  </si>
  <si>
    <t>Ergebnis</t>
  </si>
  <si>
    <t>km/s</t>
  </si>
  <si>
    <t>v =</t>
  </si>
  <si>
    <t>l =</t>
  </si>
  <si>
    <t>m</t>
  </si>
  <si>
    <t>u =</t>
  </si>
  <si>
    <t>f =</t>
  </si>
  <si>
    <t>kg</t>
  </si>
  <si>
    <t>Ruhemasse:</t>
  </si>
  <si>
    <t>Geschwindigkeit:</t>
  </si>
  <si>
    <t>M =</t>
  </si>
  <si>
    <t>Masse:</t>
  </si>
  <si>
    <t>Schwarzschildradius:</t>
  </si>
  <si>
    <t xml:space="preserve"> % der Lichtgeschwindigkeit</t>
  </si>
  <si>
    <t>%</t>
  </si>
  <si>
    <t>Masse Objekt 1:</t>
  </si>
  <si>
    <t>Masse Objekt 2:</t>
  </si>
  <si>
    <t>r =</t>
  </si>
  <si>
    <t>N</t>
  </si>
  <si>
    <t>Schwarzschildradius (ca.):</t>
  </si>
  <si>
    <t>m/s</t>
  </si>
  <si>
    <t>Masse Planet:</t>
  </si>
  <si>
    <t>Fluchtgeschwindigkeit:</t>
  </si>
  <si>
    <t>Radius Planet:</t>
  </si>
  <si>
    <t>km</t>
  </si>
  <si>
    <t>Zentralkörper:</t>
  </si>
  <si>
    <t>Planet:</t>
  </si>
  <si>
    <t>a =</t>
  </si>
  <si>
    <t>Umlaufzeit:</t>
  </si>
  <si>
    <t>Schwarzschildvolumen:</t>
  </si>
  <si>
    <t>Kritische Dichte:</t>
  </si>
  <si>
    <t xml:space="preserve">Beispiel: </t>
  </si>
  <si>
    <t>J</t>
  </si>
  <si>
    <t>Kinetische Energie:</t>
  </si>
  <si>
    <t>bzw.</t>
  </si>
  <si>
    <t>Kinetische (Bewegungs-) Energie</t>
  </si>
  <si>
    <t>Δ m =</t>
  </si>
  <si>
    <t>Große Halbachse der Ellipsenbahn:</t>
  </si>
  <si>
    <t>1 J =</t>
  </si>
  <si>
    <t>Wellenlänge:</t>
  </si>
  <si>
    <t>nm</t>
  </si>
  <si>
    <t>Hz</t>
  </si>
  <si>
    <t>Masse Himmelskörper:</t>
  </si>
  <si>
    <t xml:space="preserve">h = </t>
  </si>
  <si>
    <t>ρ =</t>
  </si>
  <si>
    <t>Empfänger-Wellenlänge:</t>
  </si>
  <si>
    <t>wobei</t>
  </si>
  <si>
    <t xml:space="preserve">c = </t>
  </si>
  <si>
    <t>Alter:</t>
  </si>
  <si>
    <t>Mittlere Dichte:</t>
  </si>
  <si>
    <t>*)</t>
  </si>
  <si>
    <t>m =</t>
  </si>
  <si>
    <t>De-Broglie Wellenlänge:</t>
  </si>
  <si>
    <t>Beispiel:</t>
  </si>
  <si>
    <r>
      <t>Elektron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9,1 * 10</t>
    </r>
    <r>
      <rPr>
        <vertAlign val="superscript"/>
        <sz val="10"/>
        <color rgb="FF002060"/>
        <rFont val="Arial"/>
        <family val="2"/>
      </rPr>
      <t>-31</t>
    </r>
    <r>
      <rPr>
        <sz val="10"/>
        <color rgb="FF002060"/>
        <rFont val="Arial"/>
        <family val="2"/>
      </rPr>
      <t xml:space="preserve"> kg / v = 299000 km/s (Teilchenbeschleuniger)</t>
    </r>
  </si>
  <si>
    <t>Frequenz der Strahlung:</t>
  </si>
  <si>
    <t>Energie:</t>
  </si>
  <si>
    <t>E =</t>
  </si>
  <si>
    <t>Beispiele:</t>
  </si>
  <si>
    <t xml:space="preserve">Abweichung bzw. Fehler zur klassischen Mechanik: </t>
  </si>
  <si>
    <t>Δv =</t>
  </si>
  <si>
    <t>z =</t>
  </si>
  <si>
    <t>R =</t>
  </si>
  <si>
    <t>h</t>
  </si>
  <si>
    <t>α =</t>
  </si>
  <si>
    <t>Ablenkungswinkel (Bogenmaß):</t>
  </si>
  <si>
    <t>Masse Himmelkörper:</t>
  </si>
  <si>
    <t>Ablenkungswinkel (Minuten):</t>
  </si>
  <si>
    <t>Ablenkungswinkel (Sekunden):</t>
  </si>
  <si>
    <t xml:space="preserve">Lichtstrahlen werden im Gravitationsfeld abgelenkt. </t>
  </si>
  <si>
    <t>Ortsunbestimmtheit:</t>
  </si>
  <si>
    <r>
      <t>Proton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1,672 * 10</t>
    </r>
    <r>
      <rPr>
        <vertAlign val="superscript"/>
        <sz val="10"/>
        <color rgb="FF002060"/>
        <rFont val="Arial"/>
        <family val="2"/>
      </rPr>
      <t>-27</t>
    </r>
    <r>
      <rPr>
        <sz val="10"/>
        <color rgb="FF002060"/>
        <rFont val="Arial"/>
        <family val="2"/>
      </rPr>
      <t xml:space="preserve"> kg</t>
    </r>
  </si>
  <si>
    <t>Geschwindigkeitsunbestimmtheit:</t>
  </si>
  <si>
    <t>Beispiel 1 (makroskopisch):</t>
  </si>
  <si>
    <t>Beispiel 2 (mikroskopisch):</t>
  </si>
  <si>
    <t>Beispiel (mikroskopisch):</t>
  </si>
  <si>
    <t>A =</t>
  </si>
  <si>
    <t>K</t>
  </si>
  <si>
    <t>P =</t>
  </si>
  <si>
    <t>Strahlungsleistung:</t>
  </si>
  <si>
    <t>Energieabstrahlung in 1 s:</t>
  </si>
  <si>
    <t>Plancksches Strahlungsgesetz</t>
  </si>
  <si>
    <t>T =</t>
  </si>
  <si>
    <t>Temperatur:</t>
  </si>
  <si>
    <t>I =</t>
  </si>
  <si>
    <t>Hohlraum</t>
  </si>
  <si>
    <t>Strahlungsgesetze</t>
  </si>
  <si>
    <t>x =</t>
  </si>
  <si>
    <t>e =</t>
  </si>
  <si>
    <t>Stefan-Boltzmann-Gesetz</t>
  </si>
  <si>
    <t>Wiensches Verschiebungsgesetz</t>
  </si>
  <si>
    <t xml:space="preserve">    </t>
  </si>
  <si>
    <t>Newton</t>
  </si>
  <si>
    <t>Einstein</t>
  </si>
  <si>
    <t>Lj</t>
  </si>
  <si>
    <r>
      <t>m/s</t>
    </r>
    <r>
      <rPr>
        <vertAlign val="superscript"/>
        <sz val="11"/>
        <color theme="1"/>
        <rFont val="Arial"/>
        <family val="2"/>
      </rPr>
      <t>2</t>
    </r>
  </si>
  <si>
    <t>1 Lj =</t>
  </si>
  <si>
    <t>c =</t>
  </si>
  <si>
    <t>c</t>
  </si>
  <si>
    <r>
      <t>a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=</t>
    </r>
  </si>
  <si>
    <t>d =</t>
  </si>
  <si>
    <t>t (s) =</t>
  </si>
  <si>
    <t>s (t) =</t>
  </si>
  <si>
    <t>Die vergangene Zeit (Reisedauer) verkürzt sich für die Astonauten im Vergleich mit dem Zeitablauf der Erdbewohner auf:</t>
  </si>
  <si>
    <t>v (t) =</t>
  </si>
  <si>
    <t xml:space="preserve">Größe und Farbe der Sonne, verglichen mit den Sternen </t>
  </si>
  <si>
    <t>[km/s]</t>
  </si>
  <si>
    <t>[%]</t>
  </si>
  <si>
    <t>Fragen:</t>
  </si>
  <si>
    <t>A</t>
  </si>
  <si>
    <t>B</t>
  </si>
  <si>
    <t>C</t>
  </si>
  <si>
    <t>D</t>
  </si>
  <si>
    <t>E</t>
  </si>
  <si>
    <t>F</t>
  </si>
  <si>
    <t>G</t>
  </si>
  <si>
    <t>[s]</t>
  </si>
  <si>
    <t>[km]</t>
  </si>
  <si>
    <t>Gedankenexperiment:</t>
  </si>
  <si>
    <t>Spezielle Relativitätstheorie</t>
  </si>
  <si>
    <r>
      <rPr>
        <sz val="11"/>
        <color theme="1"/>
        <rFont val="Calibri"/>
        <family val="2"/>
      </rPr>
      <t>τ</t>
    </r>
    <r>
      <rPr>
        <sz val="11"/>
        <color theme="1"/>
        <rFont val="Arial"/>
        <family val="2"/>
      </rPr>
      <t xml:space="preserve"> (s) =</t>
    </r>
  </si>
  <si>
    <r>
      <t>s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(</t>
    </r>
    <r>
      <rPr>
        <sz val="11"/>
        <color theme="1"/>
        <rFont val="Calibri"/>
        <family val="2"/>
      </rPr>
      <t>τ</t>
    </r>
    <r>
      <rPr>
        <sz val="11"/>
        <color theme="1"/>
        <rFont val="Arial"/>
        <family val="2"/>
      </rPr>
      <t>) =</t>
    </r>
  </si>
  <si>
    <r>
      <t xml:space="preserve">Der Reiseweg </t>
    </r>
    <r>
      <rPr>
        <b/>
        <sz val="11"/>
        <color rgb="FF002060"/>
        <rFont val="Arial"/>
        <family val="2"/>
      </rPr>
      <t xml:space="preserve">verkürzt </t>
    </r>
    <r>
      <rPr>
        <sz val="11"/>
        <color rgb="FF002060"/>
        <rFont val="Arial"/>
        <family val="2"/>
      </rPr>
      <t>sich für die Astonauten im Vergleich mit der Sicht der zurückgebliebenen Erdbewohnern auf:</t>
    </r>
  </si>
  <si>
    <t>Achtung:</t>
  </si>
  <si>
    <t xml:space="preserve"> Eine Zeitspanne der Dauer t = </t>
  </si>
  <si>
    <t>Unrechnungen</t>
  </si>
  <si>
    <t>Lichtgeschwindigkeit</t>
  </si>
  <si>
    <t xml:space="preserve">Lj   </t>
  </si>
  <si>
    <t>Jahre</t>
  </si>
  <si>
    <r>
      <t>t</t>
    </r>
    <r>
      <rPr>
        <vertAlign val="subscript"/>
        <sz val="11"/>
        <color theme="1"/>
        <rFont val="Arial"/>
        <family val="2"/>
      </rPr>
      <t>ges</t>
    </r>
    <r>
      <rPr>
        <sz val="11"/>
        <color theme="1"/>
        <rFont val="Arial"/>
        <family val="2"/>
      </rPr>
      <t xml:space="preserve"> =</t>
    </r>
  </si>
  <si>
    <r>
      <t xml:space="preserve">Beschleunigungs- / Bremsweg 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</si>
  <si>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r>
      <t xml:space="preserve">Beschleunigungs- / Bremsweg  (Sicht </t>
    </r>
    <r>
      <rPr>
        <b/>
        <sz val="11"/>
        <color theme="1"/>
        <rFont val="Arial"/>
        <family val="2"/>
      </rPr>
      <t>Rakete</t>
    </r>
    <r>
      <rPr>
        <sz val="11"/>
        <color theme="1"/>
        <rFont val="Arial"/>
        <family val="2"/>
      </rPr>
      <t>):</t>
    </r>
  </si>
  <si>
    <r>
      <t>s</t>
    </r>
    <r>
      <rPr>
        <vertAlign val="subscript"/>
        <sz val="11"/>
        <color theme="1"/>
        <rFont val="Arial"/>
        <family val="2"/>
      </rPr>
      <t>ges</t>
    </r>
    <r>
      <rPr>
        <sz val="11"/>
        <color theme="1"/>
        <rFont val="Arial"/>
        <family val="2"/>
      </rPr>
      <t xml:space="preserve"> =</t>
    </r>
  </si>
  <si>
    <r>
      <t xml:space="preserve">Gesamter Reiseweg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</si>
  <si>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t>d/2 =</t>
  </si>
  <si>
    <t>g</t>
  </si>
  <si>
    <t>Formel 1</t>
  </si>
  <si>
    <t>Formel 2</t>
  </si>
  <si>
    <t>Formel 3</t>
  </si>
  <si>
    <t>Formel 4</t>
  </si>
  <si>
    <t>Formel 5</t>
  </si>
  <si>
    <t>Formel 6</t>
  </si>
  <si>
    <t>Formel 7</t>
  </si>
  <si>
    <t>Formel 8</t>
  </si>
  <si>
    <t>Entfernung des Zielobjekts:</t>
  </si>
  <si>
    <r>
      <t xml:space="preserve">Reisegeschwindigkeit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</si>
  <si>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r>
      <t>d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=</t>
    </r>
  </si>
  <si>
    <r>
      <t>d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/2 =</t>
    </r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</si>
  <si>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max</t>
    </r>
    <r>
      <rPr>
        <sz val="11"/>
        <color theme="1"/>
        <rFont val="Arial"/>
        <family val="2"/>
      </rPr>
      <t xml:space="preserve"> =</t>
    </r>
  </si>
  <si>
    <r>
      <t xml:space="preserve">     λ</t>
    </r>
    <r>
      <rPr>
        <vertAlign val="subscript"/>
        <sz val="10"/>
        <color theme="1"/>
        <rFont val="Arial"/>
        <family val="2"/>
      </rPr>
      <t>max</t>
    </r>
    <r>
      <rPr>
        <sz val="10"/>
        <color theme="1"/>
        <rFont val="Arial"/>
        <family val="2"/>
      </rPr>
      <t xml:space="preserve"> </t>
    </r>
    <r>
      <rPr>
        <vertAlign val="subscript"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 T = K    umgestellt nach    T = K / λ</t>
    </r>
    <r>
      <rPr>
        <vertAlign val="subscript"/>
        <sz val="10"/>
        <color theme="1"/>
        <rFont val="Arial"/>
        <family val="2"/>
      </rPr>
      <t>max</t>
    </r>
  </si>
  <si>
    <t>Frage:</t>
  </si>
  <si>
    <t>Anwort:</t>
  </si>
  <si>
    <t xml:space="preserve">Was ist daran paradox (widersprüchlich)?  </t>
  </si>
  <si>
    <t>Erläuterung:</t>
  </si>
  <si>
    <t>Erklärung:</t>
  </si>
  <si>
    <t>→</t>
  </si>
  <si>
    <r>
      <t>k</t>
    </r>
    <r>
      <rPr>
        <vertAlign val="subscript"/>
        <sz val="11"/>
        <color theme="1"/>
        <rFont val="Arial"/>
        <family val="2"/>
      </rPr>
      <t>(v)</t>
    </r>
    <r>
      <rPr>
        <sz val="11"/>
        <color theme="1"/>
        <rFont val="Arial"/>
        <family val="2"/>
      </rPr>
      <t xml:space="preserve"> =</t>
    </r>
  </si>
  <si>
    <r>
      <t>k</t>
    </r>
    <r>
      <rPr>
        <vertAlign val="subscript"/>
        <sz val="11"/>
        <color theme="1"/>
        <rFont val="Arial"/>
        <family val="2"/>
      </rPr>
      <t>(-v)</t>
    </r>
    <r>
      <rPr>
        <sz val="11"/>
        <color theme="1"/>
        <rFont val="Arial"/>
        <family val="2"/>
      </rPr>
      <t xml:space="preserve"> =</t>
    </r>
  </si>
  <si>
    <t>ΔT =</t>
  </si>
  <si>
    <r>
      <rPr>
        <sz val="11"/>
        <color theme="1"/>
        <rFont val="Calibri"/>
        <family val="2"/>
      </rPr>
      <t>ΔT</t>
    </r>
    <r>
      <rPr>
        <vertAlign val="subscript"/>
        <sz val="11"/>
        <color theme="1"/>
        <rFont val="Arial"/>
        <family val="2"/>
      </rPr>
      <t xml:space="preserve"> Hin</t>
    </r>
    <r>
      <rPr>
        <sz val="11"/>
        <color theme="1"/>
        <rFont val="Arial"/>
        <family val="2"/>
      </rPr>
      <t xml:space="preserve"> = </t>
    </r>
  </si>
  <si>
    <r>
      <rPr>
        <sz val="11"/>
        <color theme="1"/>
        <rFont val="Calibri"/>
        <family val="2"/>
      </rPr>
      <t>ΔT</t>
    </r>
    <r>
      <rPr>
        <vertAlign val="subscript"/>
        <sz val="11"/>
        <color theme="1"/>
        <rFont val="Arial"/>
        <family val="2"/>
      </rPr>
      <t xml:space="preserve"> Rück</t>
    </r>
    <r>
      <rPr>
        <sz val="11"/>
        <color theme="1"/>
        <rFont val="Arial"/>
        <family val="2"/>
      </rPr>
      <t xml:space="preserve"> = </t>
    </r>
  </si>
  <si>
    <t>Zeitintervall Signale:</t>
  </si>
  <si>
    <t xml:space="preserve">      Rotverschiebung</t>
  </si>
  <si>
    <t xml:space="preserve">      Blauverschiebung</t>
  </si>
  <si>
    <t>Dopplerverschiebung bei Entfernung</t>
  </si>
  <si>
    <t>Dopplerverschiebung bei Annäherung</t>
  </si>
  <si>
    <t>Lichtgeschwindigkeit c =</t>
  </si>
  <si>
    <t>Ziel gemäß der</t>
  </si>
  <si>
    <t>Fläche des Körpers:</t>
  </si>
  <si>
    <t>Temperatur des Körpers:</t>
  </si>
  <si>
    <t>Emissionsgrad:</t>
  </si>
  <si>
    <t>Ablenkungswinkel (Grad):</t>
  </si>
  <si>
    <t>R</t>
  </si>
  <si>
    <t>Relativistische Mechanik:</t>
  </si>
  <si>
    <t>Abweichung bzw. Fehler zur klassischen Mechanik:</t>
  </si>
  <si>
    <t>eV</t>
  </si>
  <si>
    <t>1 eV =</t>
  </si>
  <si>
    <t>Gravitationskonstante:</t>
  </si>
  <si>
    <t>Plancksches Wirkungsquantum:</t>
  </si>
  <si>
    <t>Boltzmann-Konstante:</t>
  </si>
  <si>
    <t>Stefan-Boltzmann-Konstante:</t>
  </si>
  <si>
    <t xml:space="preserve"> Quelle: © Laro Schatzer </t>
  </si>
  <si>
    <t>(Artwork from Alpha Centauri, used with permission)</t>
  </si>
  <si>
    <t>Sonne mit Planeten</t>
  </si>
  <si>
    <t>Interstellarer Raum</t>
  </si>
  <si>
    <r>
      <t>E</t>
    </r>
    <r>
      <rPr>
        <vertAlign val="subscript"/>
        <sz val="11"/>
        <color theme="1"/>
        <rFont val="Arial"/>
        <family val="2"/>
      </rPr>
      <t>kinkl</t>
    </r>
    <r>
      <rPr>
        <sz val="11"/>
        <color theme="1"/>
        <rFont val="Arial"/>
        <family val="2"/>
      </rPr>
      <t xml:space="preserve"> =</t>
    </r>
  </si>
  <si>
    <r>
      <t>E</t>
    </r>
    <r>
      <rPr>
        <vertAlign val="subscript"/>
        <sz val="11"/>
        <color theme="1"/>
        <rFont val="Arial"/>
        <family val="2"/>
      </rPr>
      <t>kinrel</t>
    </r>
    <r>
      <rPr>
        <sz val="11"/>
        <color theme="1"/>
        <rFont val="Arial"/>
        <family val="2"/>
      </rPr>
      <t xml:space="preserve"> =</t>
    </r>
  </si>
  <si>
    <r>
      <t>F</t>
    </r>
    <r>
      <rPr>
        <vertAlign val="subscript"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 xml:space="preserve"> =</t>
    </r>
  </si>
  <si>
    <r>
      <t>R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</t>
    </r>
  </si>
  <si>
    <r>
      <t>v</t>
    </r>
    <r>
      <rPr>
        <vertAlign val="subscript"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 xml:space="preserve"> =</t>
    </r>
  </si>
  <si>
    <r>
      <t>v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 xml:space="preserve"> =</t>
    </r>
  </si>
  <si>
    <r>
      <t>m</t>
    </r>
    <r>
      <rPr>
        <vertAlign val="subscript"/>
        <sz val="11"/>
        <color theme="1"/>
        <rFont val="Arial"/>
        <family val="2"/>
      </rPr>
      <t xml:space="preserve">0 </t>
    </r>
    <r>
      <rPr>
        <sz val="11"/>
        <color theme="1"/>
        <rFont val="Arial"/>
        <family val="2"/>
      </rPr>
      <t>=</t>
    </r>
  </si>
  <si>
    <r>
      <t>E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 </t>
    </r>
  </si>
  <si>
    <r>
      <t>E</t>
    </r>
    <r>
      <rPr>
        <vertAlign val="sub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 xml:space="preserve"> =</t>
    </r>
  </si>
  <si>
    <r>
      <t xml:space="preserve"> λ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</si>
  <si>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1"/>
        <color rgb="FF002060"/>
        <rFont val="Arial"/>
        <family val="2"/>
      </rPr>
      <t>S</t>
    </r>
    <r>
      <rPr>
        <sz val="11"/>
        <color rgb="FF002060"/>
        <rFont val="Arial"/>
        <family val="2"/>
      </rPr>
      <t xml:space="preserve"> = </t>
    </r>
  </si>
  <si>
    <r>
      <t xml:space="preserve"> λ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</si>
  <si>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 xml:space="preserve">= </t>
    </r>
  </si>
  <si>
    <r>
      <t xml:space="preserve"> λ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</t>
    </r>
  </si>
  <si>
    <r>
      <t>m</t>
    </r>
    <r>
      <rPr>
        <vertAlign val="subscript"/>
        <sz val="11"/>
        <color theme="1"/>
        <rFont val="Arial"/>
        <family val="2"/>
      </rPr>
      <t>PL</t>
    </r>
    <r>
      <rPr>
        <sz val="11"/>
        <color theme="1"/>
        <rFont val="Arial"/>
        <family val="2"/>
      </rPr>
      <t xml:space="preserve"> =</t>
    </r>
  </si>
  <si>
    <r>
      <t>R</t>
    </r>
    <r>
      <rPr>
        <vertAlign val="subscript"/>
        <sz val="11"/>
        <color theme="1"/>
        <rFont val="Arial"/>
        <family val="2"/>
      </rPr>
      <t xml:space="preserve">SPL </t>
    </r>
    <r>
      <rPr>
        <sz val="11"/>
        <color theme="1"/>
        <rFont val="Arial"/>
        <family val="2"/>
      </rPr>
      <t>=</t>
    </r>
  </si>
  <si>
    <r>
      <t>t</t>
    </r>
    <r>
      <rPr>
        <vertAlign val="subscript"/>
        <sz val="11"/>
        <color theme="1"/>
        <rFont val="Arial"/>
        <family val="2"/>
      </rPr>
      <t xml:space="preserve">PL </t>
    </r>
    <r>
      <rPr>
        <sz val="11"/>
        <color theme="1"/>
        <rFont val="Arial"/>
        <family val="2"/>
      </rPr>
      <t>=</t>
    </r>
  </si>
  <si>
    <t xml:space="preserve">Δv = </t>
  </si>
  <si>
    <r>
      <rPr>
        <sz val="11"/>
        <color theme="1"/>
        <rFont val="Calibri"/>
        <family val="2"/>
      </rPr>
      <t>λ</t>
    </r>
    <r>
      <rPr>
        <sz val="11"/>
        <color theme="1"/>
        <rFont val="Arial"/>
        <family val="2"/>
      </rPr>
      <t xml:space="preserve"> =</t>
    </r>
  </si>
  <si>
    <t>λ =</t>
  </si>
  <si>
    <r>
      <rPr>
        <sz val="11"/>
        <color theme="1"/>
        <rFont val="Calibri"/>
        <family val="2"/>
      </rPr>
      <t>ε</t>
    </r>
    <r>
      <rPr>
        <sz val="11"/>
        <color theme="1"/>
        <rFont val="Arial"/>
        <family val="2"/>
      </rPr>
      <t xml:space="preserve"> =</t>
    </r>
  </si>
  <si>
    <t>Ortsunstimmtheit des Teilchens:</t>
  </si>
  <si>
    <t>Einem Schwarzen Loch kann nichts entkommen, nicht einmal Licht!</t>
  </si>
  <si>
    <t>Herleitung der Formel:</t>
  </si>
  <si>
    <t>Gravitationskonstante</t>
  </si>
  <si>
    <t>Erdbeschleunigung</t>
  </si>
  <si>
    <t>Magnetische Feldkonstante</t>
  </si>
  <si>
    <t>π</t>
  </si>
  <si>
    <t>Größe</t>
  </si>
  <si>
    <t>Zeichen</t>
  </si>
  <si>
    <t>Wert</t>
  </si>
  <si>
    <t>Einheit</t>
  </si>
  <si>
    <t>Faraday-Konstante</t>
  </si>
  <si>
    <t>Avogadro-Konstante</t>
  </si>
  <si>
    <t xml:space="preserve">Loschmidt-Konstante </t>
  </si>
  <si>
    <t>Normdruck</t>
  </si>
  <si>
    <t>Pa</t>
  </si>
  <si>
    <t>Absoluter Nullpunkt</t>
  </si>
  <si>
    <t>T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</si>
  <si>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• 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 xml:space="preserve"> • s</t>
    </r>
    <r>
      <rPr>
        <vertAlign val="superscript"/>
        <sz val="11"/>
        <color theme="1"/>
        <rFont val="Arial"/>
        <family val="2"/>
      </rPr>
      <t>-2</t>
    </r>
  </si>
  <si>
    <r>
      <t>mol</t>
    </r>
    <r>
      <rPr>
        <vertAlign val="superscript"/>
        <sz val="11"/>
        <color theme="1"/>
        <rFont val="Arial"/>
        <family val="2"/>
      </rPr>
      <t>-1</t>
    </r>
  </si>
  <si>
    <r>
      <t>m</t>
    </r>
    <r>
      <rPr>
        <vertAlign val="superscript"/>
        <sz val="11"/>
        <color theme="1"/>
        <rFont val="Arial"/>
        <family val="2"/>
      </rPr>
      <t>-3</t>
    </r>
  </si>
  <si>
    <t>Physikalsiche Konstanten</t>
  </si>
  <si>
    <t>Elementarladung</t>
  </si>
  <si>
    <t>e</t>
  </si>
  <si>
    <t>Molvolumen idealer Gase</t>
  </si>
  <si>
    <t>273,15 K bzw. 0 °C und 101325 Pa</t>
  </si>
  <si>
    <t>Tripelpunkt Wasser</t>
  </si>
  <si>
    <t>Bemerkungen</t>
  </si>
  <si>
    <t>Elektische Feldkonstante</t>
  </si>
  <si>
    <t>Boltzmann-Konstante</t>
  </si>
  <si>
    <t>ħ</t>
  </si>
  <si>
    <t>Reduziertes Wirkungsquantum</t>
  </si>
  <si>
    <t>σ</t>
  </si>
  <si>
    <t>Wien-Konstante</t>
  </si>
  <si>
    <t>Stefan-Boltzmann-Konstante</t>
  </si>
  <si>
    <t>Bohrscher Radius</t>
  </si>
  <si>
    <t>Ruhemasse Elektron</t>
  </si>
  <si>
    <t>Ruheenergie Elektron</t>
  </si>
  <si>
    <t>Pi</t>
  </si>
  <si>
    <t>Universelle Gaskonstante</t>
  </si>
  <si>
    <t>Anschauliches Beispiel:</t>
  </si>
  <si>
    <t>Ruhemasse Proton</t>
  </si>
  <si>
    <t>Ruheenergie Proton</t>
  </si>
  <si>
    <t>Ruheenergie Neutron</t>
  </si>
  <si>
    <t>Ruhemasse Neutron</t>
  </si>
  <si>
    <t>Richard Keating</t>
  </si>
  <si>
    <t>im Jahr 1971</t>
  </si>
  <si>
    <t xml:space="preserve">s lang. </t>
  </si>
  <si>
    <t>m lang.</t>
  </si>
  <si>
    <t>Verhältnis:</t>
  </si>
  <si>
    <t>v/c =</t>
  </si>
  <si>
    <t xml:space="preserve"> siehe nebenstehende Grafik.</t>
  </si>
  <si>
    <t>Schwarzschildradius bei einem Vielfachen der Sonnenmasse:</t>
  </si>
  <si>
    <t>Schwarzen Lochs vom umgebenden Universum ab.</t>
  </si>
  <si>
    <t xml:space="preserve">Der Schwarzschild-Radius grenzt den in sich geschlossenen Raum des </t>
  </si>
  <si>
    <r>
      <t>s</t>
    </r>
    <r>
      <rPr>
        <vertAlign val="superscript"/>
        <sz val="11"/>
        <color theme="1"/>
        <rFont val="Arial"/>
        <family val="2"/>
      </rPr>
      <t>-1</t>
    </r>
  </si>
  <si>
    <t>Seite 8 von 15</t>
  </si>
  <si>
    <t>Weg bzw.</t>
  </si>
  <si>
    <t>Raum</t>
  </si>
  <si>
    <t>Seite 1 von 2</t>
  </si>
  <si>
    <t>Seite 2 von 2</t>
  </si>
  <si>
    <t>Anmerkung:</t>
  </si>
  <si>
    <t>Beobachtete Wellenlänge: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</si>
  <si>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</t>
    </r>
  </si>
  <si>
    <t>Δλ =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</si>
  <si>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</t>
    </r>
  </si>
  <si>
    <r>
      <t>H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</t>
    </r>
  </si>
  <si>
    <t>Seite 1 von 5</t>
  </si>
  <si>
    <t>Seite 2 von 5</t>
  </si>
  <si>
    <t>Seite 3 von 5</t>
  </si>
  <si>
    <t>Seite 4 von 5</t>
  </si>
  <si>
    <t>Seite 5 von 5</t>
  </si>
  <si>
    <t>Δ w =</t>
  </si>
  <si>
    <r>
      <t>s'</t>
    </r>
    <r>
      <rPr>
        <vertAlign val="subscript"/>
        <sz val="11"/>
        <color theme="1"/>
        <rFont val="Arial"/>
        <family val="2"/>
      </rPr>
      <t>ges</t>
    </r>
    <r>
      <rPr>
        <sz val="11"/>
        <color theme="1"/>
        <rFont val="Arial"/>
        <family val="2"/>
      </rPr>
      <t xml:space="preserve"> =</t>
    </r>
  </si>
  <si>
    <r>
      <t>t'</t>
    </r>
    <r>
      <rPr>
        <vertAlign val="subscript"/>
        <sz val="11"/>
        <color theme="1"/>
        <rFont val="Arial"/>
        <family val="2"/>
      </rPr>
      <t>ges</t>
    </r>
    <r>
      <rPr>
        <sz val="11"/>
        <color theme="1"/>
        <rFont val="Arial"/>
        <family val="2"/>
      </rPr>
      <t xml:space="preserve"> =</t>
    </r>
  </si>
  <si>
    <r>
      <t xml:space="preserve">Gesamter Reiseweg (Sicht </t>
    </r>
    <r>
      <rPr>
        <b/>
        <sz val="11"/>
        <color theme="1"/>
        <rFont val="Arial"/>
        <family val="2"/>
      </rPr>
      <t>Rakete</t>
    </r>
    <r>
      <rPr>
        <sz val="11"/>
        <color theme="1"/>
        <rFont val="Arial"/>
        <family val="2"/>
      </rPr>
      <t>):</t>
    </r>
  </si>
  <si>
    <r>
      <t xml:space="preserve">Weg der gleichförmigen Geschwindigkeit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</si>
  <si>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r>
      <t xml:space="preserve">Zeit der gleichförmigen Geschwindigkeit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</si>
  <si>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r>
      <t xml:space="preserve">Gesamte Reisezeit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</si>
  <si>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r>
      <t xml:space="preserve">Zeit der gleichförmigen Geschwindigkeit (Sicht </t>
    </r>
    <r>
      <rPr>
        <b/>
        <sz val="11"/>
        <color theme="1"/>
        <rFont val="Arial"/>
        <family val="2"/>
      </rPr>
      <t>Rakete</t>
    </r>
    <r>
      <rPr>
        <sz val="11"/>
        <color theme="1"/>
        <rFont val="Arial"/>
        <family val="2"/>
      </rPr>
      <t>):</t>
    </r>
  </si>
  <si>
    <r>
      <t>Gesamte Reisezeit (Sicht</t>
    </r>
    <r>
      <rPr>
        <b/>
        <sz val="11"/>
        <color theme="1"/>
        <rFont val="Arial"/>
        <family val="2"/>
      </rPr>
      <t xml:space="preserve"> Rakete</t>
    </r>
    <r>
      <rPr>
        <sz val="11"/>
        <color theme="1"/>
        <rFont val="Arial"/>
        <family val="2"/>
      </rPr>
      <t>):</t>
    </r>
  </si>
  <si>
    <t>Beschleunigung der Rakete:</t>
  </si>
  <si>
    <t>Foto aus den 1920er Jahren</t>
  </si>
  <si>
    <t>relativistischen Impuls                                              steht.</t>
  </si>
  <si>
    <t>Hubble-Parameter:</t>
  </si>
  <si>
    <t>Abstand der Massen-Schwerpunkte:</t>
  </si>
  <si>
    <t>β =</t>
  </si>
  <si>
    <t>y =</t>
  </si>
  <si>
    <t>x' =</t>
  </si>
  <si>
    <t>y' =</t>
  </si>
  <si>
    <t>z' =</t>
  </si>
  <si>
    <t>Lorentz-Transformation</t>
  </si>
  <si>
    <t xml:space="preserve">ist der Kern der speziellen Relatvitätstheorie. Sie macht eine </t>
  </si>
  <si>
    <t>Konstante</t>
  </si>
  <si>
    <t>Verhältnis v/c:</t>
  </si>
  <si>
    <t>ΔE =</t>
  </si>
  <si>
    <t>"ruhenden" Uhr</t>
  </si>
  <si>
    <t>"bewegten" Uhr</t>
  </si>
  <si>
    <t>Hauptqunatenzahl:</t>
  </si>
  <si>
    <t xml:space="preserve">n = </t>
  </si>
  <si>
    <r>
      <t>r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 </t>
    </r>
  </si>
  <si>
    <t>Elektrische Feldkonstante:</t>
  </si>
  <si>
    <r>
      <t>ε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 </t>
    </r>
  </si>
  <si>
    <t>A•s/V•m</t>
  </si>
  <si>
    <r>
      <t>m</t>
    </r>
    <r>
      <rPr>
        <vertAlign val="subscript"/>
        <sz val="11"/>
        <color theme="1"/>
        <rFont val="Arial"/>
        <family val="2"/>
      </rPr>
      <t>e0</t>
    </r>
    <r>
      <rPr>
        <sz val="11"/>
        <color theme="1"/>
        <rFont val="Arial"/>
        <family val="2"/>
      </rPr>
      <t xml:space="preserve"> = </t>
    </r>
  </si>
  <si>
    <t>Elektrische Elementarladung:</t>
  </si>
  <si>
    <t xml:space="preserve">Bahndrehimpuls: </t>
  </si>
  <si>
    <r>
      <t>v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 </t>
    </r>
  </si>
  <si>
    <t>A•s</t>
  </si>
  <si>
    <t>Energiebilanz</t>
  </si>
  <si>
    <r>
      <t>E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 </t>
    </r>
  </si>
  <si>
    <r>
      <t>E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</t>
    </r>
  </si>
  <si>
    <t>Gesamternergie des Elektrons:</t>
  </si>
  <si>
    <r>
      <t>E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 </t>
    </r>
  </si>
  <si>
    <r>
      <t>E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</t>
    </r>
  </si>
  <si>
    <r>
      <t>Geamt-Energie des Elektrons</t>
    </r>
    <r>
      <rPr>
        <b/>
        <sz val="10"/>
        <color rgb="FF002060"/>
        <rFont val="Arial"/>
        <family val="2"/>
      </rPr>
      <t>:</t>
    </r>
  </si>
  <si>
    <t>Das Bohrsche Atom-Modell basiert auf 3 Postulaten:</t>
  </si>
  <si>
    <t>Energiebilanz:</t>
  </si>
  <si>
    <t xml:space="preserve"> Gesamternergie = Kinetische Energie + potenzielle Energie</t>
  </si>
  <si>
    <t>Konstanten</t>
  </si>
  <si>
    <t>Streckenlänge l =</t>
  </si>
  <si>
    <t>Das Einsetzen der Geschwindigkeit und des Radius´</t>
  </si>
  <si>
    <t>in die Energiebilanz ergibt die</t>
  </si>
  <si>
    <t>Geschwindigkeit des Elektrons</t>
  </si>
  <si>
    <t>Radius der Elektronenbahn</t>
  </si>
  <si>
    <t xml:space="preserve"> ΔE =</t>
  </si>
  <si>
    <t>Lichtgeschwindigkeit:</t>
  </si>
  <si>
    <r>
      <rPr>
        <sz val="11"/>
        <color theme="1"/>
        <rFont val="Calibri"/>
        <family val="2"/>
      </rPr>
      <t>λ</t>
    </r>
    <r>
      <rPr>
        <sz val="11"/>
        <color theme="1"/>
        <rFont val="Arial"/>
        <family val="2"/>
      </rPr>
      <t xml:space="preserve"> = </t>
    </r>
  </si>
  <si>
    <t>Frequenz:</t>
  </si>
  <si>
    <t>Photon der Energie:</t>
  </si>
  <si>
    <t>Seite 15 von 15</t>
  </si>
  <si>
    <t>Seite 14 von 15</t>
  </si>
  <si>
    <t>Seite 13 von 15</t>
  </si>
  <si>
    <t>Seite 12 von 15</t>
  </si>
  <si>
    <t>Seite 11 von 15</t>
  </si>
  <si>
    <t>Seite 10 von 15</t>
  </si>
  <si>
    <t>Seite 7 von 15</t>
  </si>
  <si>
    <t>Seite 6 von 15</t>
  </si>
  <si>
    <t>Seite 5 von 15</t>
  </si>
  <si>
    <t>Seite 4 von 15</t>
  </si>
  <si>
    <t>Seite 3 von 15</t>
  </si>
  <si>
    <t>Seite 2 von 15</t>
  </si>
  <si>
    <t>n =</t>
  </si>
  <si>
    <t xml:space="preserve">der Geschwindigkeit des Teilchens und umgekehrt. </t>
  </si>
  <si>
    <t>Nur wenn v &lt;&lt; c!</t>
  </si>
  <si>
    <t>Geht immer!</t>
  </si>
  <si>
    <t xml:space="preserve">                       Projekts "Ritt auf der Lichtwelle"). Auch dabei: Steaphen Hawking (Rollstuhl).</t>
  </si>
  <si>
    <t>Erwin Schrödinger 1933</t>
  </si>
  <si>
    <t>(1887 - 1961)</t>
  </si>
  <si>
    <t xml:space="preserve"> </t>
  </si>
  <si>
    <t>Bahndrehimpuls:</t>
  </si>
  <si>
    <r>
      <t>L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</t>
    </r>
  </si>
  <si>
    <t>ħ =</t>
  </si>
  <si>
    <t>d. h. dem Wellenvektor                    mit dem Betrag                          zuschrieb,</t>
  </si>
  <si>
    <t>=</t>
  </si>
  <si>
    <t xml:space="preserve">Zustand eines Atoms mit der niedrigsten </t>
  </si>
  <si>
    <t>Energie. Zustände mit höheren Quanten-</t>
  </si>
  <si>
    <r>
      <t xml:space="preserve">zahlen sind weniger </t>
    </r>
    <r>
      <rPr>
        <sz val="10"/>
        <color rgb="FF002060"/>
        <rFont val="Arial"/>
        <family val="2"/>
      </rPr>
      <t>s</t>
    </r>
    <r>
      <rPr>
        <sz val="11"/>
        <color rgb="FF002060"/>
        <rFont val="Arial"/>
        <family val="2"/>
      </rPr>
      <t xml:space="preserve">tabil und werden als </t>
    </r>
  </si>
  <si>
    <t>angeregte Zustände bezeichnet.</t>
  </si>
  <si>
    <t>Seite 3 von 4</t>
  </si>
  <si>
    <t>Seite 4 von 4</t>
  </si>
  <si>
    <t>Seite 2 von 4</t>
  </si>
  <si>
    <t>Seite 1 von 4</t>
  </si>
  <si>
    <t xml:space="preserve">                  Formel nach Rydberg berechnen:</t>
  </si>
  <si>
    <t xml:space="preserve">                  auch Tab. 5 "Phys. Konstanten":</t>
  </si>
  <si>
    <r>
      <t xml:space="preserve">                  mit </t>
    </r>
    <r>
      <rPr>
        <b/>
        <sz val="11"/>
        <color rgb="FF002060"/>
        <rFont val="Arial"/>
        <family val="2"/>
      </rPr>
      <t>R = 3,28984 • 10</t>
    </r>
    <r>
      <rPr>
        <b/>
        <vertAlign val="superscript"/>
        <sz val="11"/>
        <color rgb="FF002060"/>
        <rFont val="Arial"/>
        <family val="2"/>
      </rPr>
      <t>15</t>
    </r>
    <r>
      <rPr>
        <b/>
        <sz val="11"/>
        <color rgb="FF002060"/>
        <rFont val="Arial"/>
        <family val="2"/>
      </rPr>
      <t xml:space="preserve"> Hz</t>
    </r>
    <r>
      <rPr>
        <sz val="11"/>
        <color rgb="FF002060"/>
        <rFont val="Arial"/>
        <family val="2"/>
      </rPr>
      <t xml:space="preserve">, siehe </t>
    </r>
  </si>
  <si>
    <r>
      <t xml:space="preserve">Grenzfläche, an der </t>
    </r>
    <r>
      <rPr>
        <b/>
        <sz val="10"/>
        <color rgb="FFC00000"/>
        <rFont val="Arial"/>
        <family val="2"/>
      </rPr>
      <t>Fluchtgeschwindigkeit = Lichtgeschwindigkeit</t>
    </r>
    <r>
      <rPr>
        <b/>
        <sz val="10"/>
        <color rgb="FF002060"/>
        <rFont val="Arial"/>
        <family val="2"/>
      </rPr>
      <t xml:space="preserve"> ist.</t>
    </r>
  </si>
  <si>
    <r>
      <t>Gesamtenergie eines Körpers = Ruheenergie + Kinetische Energie</t>
    </r>
    <r>
      <rPr>
        <b/>
        <sz val="11"/>
        <color theme="1"/>
        <rFont val="Arial"/>
        <family val="2"/>
      </rPr>
      <t/>
    </r>
  </si>
  <si>
    <r>
      <t>E</t>
    </r>
    <r>
      <rPr>
        <b/>
        <vertAlign val="subscript"/>
        <sz val="10"/>
        <color theme="1"/>
        <rFont val="Arial"/>
        <family val="2"/>
      </rPr>
      <t>ges</t>
    </r>
    <r>
      <rPr>
        <b/>
        <sz val="10"/>
        <color theme="1"/>
        <rFont val="Arial"/>
        <family val="2"/>
      </rPr>
      <t xml:space="preserve"> = E</t>
    </r>
    <r>
      <rPr>
        <b/>
        <vertAlign val="subscript"/>
        <sz val="10"/>
        <color theme="1"/>
        <rFont val="Arial"/>
        <family val="2"/>
      </rPr>
      <t>0</t>
    </r>
    <r>
      <rPr>
        <b/>
        <sz val="10"/>
        <color theme="1"/>
        <rFont val="Arial"/>
        <family val="2"/>
      </rPr>
      <t xml:space="preserve"> + E</t>
    </r>
    <r>
      <rPr>
        <b/>
        <vertAlign val="subscript"/>
        <sz val="10"/>
        <color theme="1"/>
        <rFont val="Arial"/>
        <family val="2"/>
      </rPr>
      <t>kin</t>
    </r>
  </si>
  <si>
    <t>Impuls:</t>
  </si>
  <si>
    <t>Heutige Temperatur:</t>
  </si>
  <si>
    <t>Anzahl an Galaxien:</t>
  </si>
  <si>
    <t>Quantenmechanisches (Orbital-) Atommodell</t>
  </si>
  <si>
    <t>Was legt die Qauntenzahl fest?</t>
  </si>
  <si>
    <t xml:space="preserve">l = </t>
  </si>
  <si>
    <t xml:space="preserve">m = </t>
  </si>
  <si>
    <t xml:space="preserve">s = </t>
  </si>
  <si>
    <r>
      <t>±</t>
    </r>
    <r>
      <rPr>
        <b/>
        <sz val="12"/>
        <color rgb="FF002060"/>
        <rFont val="Arial"/>
        <family val="2"/>
      </rPr>
      <t>½</t>
    </r>
  </si>
  <si>
    <t>Erlaube Werte</t>
  </si>
  <si>
    <t>(K, L, M, N, O, P und Q) nach dem Bohr-Modell. Auf</t>
  </si>
  <si>
    <t xml:space="preserve">Den Spin kann man als Drehung des Elektrons um </t>
  </si>
  <si>
    <t xml:space="preserve">                                                                                              | </t>
  </si>
  <si>
    <r>
      <t>In Ergänzung/Abwandlung</t>
    </r>
    <r>
      <rPr>
        <b/>
        <sz val="12"/>
        <color rgb="FF002060"/>
        <rFont val="Arial"/>
        <family val="2"/>
      </rPr>
      <t xml:space="preserve"> </t>
    </r>
    <r>
      <rPr>
        <sz val="12"/>
        <color rgb="FF002060"/>
        <rFont val="Arial"/>
        <family val="2"/>
      </rPr>
      <t xml:space="preserve">könnten Reisen zu fernen Sternen auch unter Vorgabe einer Beschleunigungs-/Bremsphase (gleichgroß) </t>
    </r>
    <r>
      <rPr>
        <b/>
        <sz val="12"/>
        <color rgb="FF002060"/>
        <rFont val="Arial"/>
        <family val="2"/>
      </rPr>
      <t>und</t>
    </r>
    <r>
      <rPr>
        <sz val="12"/>
        <color rgb="FF002060"/>
        <rFont val="Arial"/>
        <family val="2"/>
      </rPr>
      <t xml:space="preserve"> einer da-</t>
    </r>
  </si>
  <si>
    <t>zwischen liegenden gleichförmigen Geschwindigkeitsphase erfolgen (Tick realistischer, weil man bei großen Distanzen nicht so nah an c muss).</t>
  </si>
  <si>
    <t>Elektronenverteilung in den Orbitalzellen aller Elemente</t>
  </si>
  <si>
    <t xml:space="preserve">1. </t>
  </si>
  <si>
    <t xml:space="preserve">2. </t>
  </si>
  <si>
    <t xml:space="preserve">3. </t>
  </si>
  <si>
    <t>Zuerst werden die s-Orbialte aufgefüllt, dann erst die p-Orbitale.</t>
  </si>
  <si>
    <t>unterschiedlchen Spin.</t>
  </si>
  <si>
    <t xml:space="preserve">4.  </t>
  </si>
  <si>
    <t xml:space="preserve">5. b) </t>
  </si>
  <si>
    <t xml:space="preserve">5 .a) </t>
  </si>
  <si>
    <t xml:space="preserve">5. c) </t>
  </si>
  <si>
    <t xml:space="preserve">5. d) </t>
  </si>
  <si>
    <t>Etwas ungünstiger in der Energie-Skala sind die p-Orbitale.</t>
  </si>
  <si>
    <t>An dritter Stelle folgen die d-Orbitale.</t>
  </si>
  <si>
    <t>Energetisch am ungünstigsten sind die f-Orbitale.</t>
  </si>
  <si>
    <t>Hund´sche Regel:</t>
  </si>
  <si>
    <t>doppelt besetzt werden.</t>
  </si>
  <si>
    <r>
      <rPr>
        <sz val="11"/>
        <color theme="1"/>
        <rFont val="Calibri"/>
        <family val="2"/>
      </rPr>
      <t>γ</t>
    </r>
    <r>
      <rPr>
        <sz val="11"/>
        <color theme="1"/>
        <rFont val="Arial"/>
        <family val="2"/>
      </rPr>
      <t xml:space="preserve"> =</t>
    </r>
  </si>
  <si>
    <t>Lorentz-Faktor (Gamma):</t>
  </si>
  <si>
    <r>
      <t>Aluminium (</t>
    </r>
    <r>
      <rPr>
        <b/>
        <sz val="11"/>
        <color theme="1"/>
        <rFont val="Arial"/>
        <family val="2"/>
      </rPr>
      <t>Al</t>
    </r>
    <r>
      <rPr>
        <sz val="11"/>
        <color theme="1"/>
        <rFont val="Arial"/>
        <family val="2"/>
      </rPr>
      <t>): 1s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2p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 3s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3p</t>
    </r>
    <r>
      <rPr>
        <vertAlign val="superscript"/>
        <sz val="11"/>
        <color theme="1"/>
        <rFont val="Arial"/>
        <family val="2"/>
      </rPr>
      <t xml:space="preserve">1  </t>
    </r>
    <r>
      <rPr>
        <sz val="11"/>
        <color theme="1"/>
        <rFont val="Arial"/>
        <family val="2"/>
      </rPr>
      <t xml:space="preserve"> /   Chlor (</t>
    </r>
    <r>
      <rPr>
        <b/>
        <sz val="11"/>
        <color theme="1"/>
        <rFont val="Arial"/>
        <family val="2"/>
      </rPr>
      <t>Cl</t>
    </r>
    <r>
      <rPr>
        <sz val="11"/>
        <color theme="1"/>
        <rFont val="Arial"/>
        <family val="2"/>
      </rPr>
      <t>):  1s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2p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 3s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3p</t>
    </r>
    <r>
      <rPr>
        <vertAlign val="superscript"/>
        <sz val="11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  /  </t>
    </r>
  </si>
  <si>
    <t>G =</t>
  </si>
  <si>
    <r>
      <t>m</t>
    </r>
    <r>
      <rPr>
        <vertAlign val="subscript"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=</t>
    </r>
  </si>
  <si>
    <t>V/m</t>
  </si>
  <si>
    <r>
      <t>F</t>
    </r>
    <r>
      <rPr>
        <vertAlign val="sub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=</t>
    </r>
  </si>
  <si>
    <r>
      <t>E</t>
    </r>
    <r>
      <rPr>
        <vertAlign val="subscript"/>
        <sz val="11"/>
        <color theme="1"/>
        <rFont val="Arial"/>
        <family val="2"/>
      </rPr>
      <t>pot</t>
    </r>
    <r>
      <rPr>
        <sz val="11"/>
        <color theme="1"/>
        <rFont val="Arial"/>
        <family val="2"/>
      </rPr>
      <t xml:space="preserve"> =</t>
    </r>
  </si>
  <si>
    <r>
      <t xml:space="preserve">Wie groß ist die </t>
    </r>
    <r>
      <rPr>
        <b/>
        <sz val="11"/>
        <color theme="1"/>
        <rFont val="Arial"/>
        <family val="2"/>
      </rPr>
      <t>Kinetische Energie</t>
    </r>
    <r>
      <rPr>
        <sz val="11"/>
        <color theme="1"/>
        <rFont val="Arial"/>
        <family val="2"/>
      </rPr>
      <t xml:space="preserve"> des Elektrons?</t>
    </r>
  </si>
  <si>
    <t xml:space="preserve">Anmerkung: </t>
  </si>
  <si>
    <r>
      <t>E</t>
    </r>
    <r>
      <rPr>
        <vertAlign val="subscript"/>
        <sz val="11"/>
        <color theme="1"/>
        <rFont val="Arial"/>
        <family val="2"/>
      </rPr>
      <t>kin</t>
    </r>
    <r>
      <rPr>
        <sz val="11"/>
        <color theme="1"/>
        <rFont val="Arial"/>
        <family val="2"/>
      </rPr>
      <t xml:space="preserve"> =</t>
    </r>
  </si>
  <si>
    <t>Wie groß ist die Geschwindigkeit des Elektrons?</t>
  </si>
  <si>
    <t>% c</t>
  </si>
  <si>
    <t>dem Atom zu entkommen?</t>
  </si>
  <si>
    <t>Elektron muss in dem Fall seine</t>
  </si>
  <si>
    <t>Beweg.-Energie umsetzen, d. h.:</t>
  </si>
  <si>
    <t>Ruhemasse Elektron:</t>
  </si>
  <si>
    <t>Grafik: die-ullrichs.com</t>
  </si>
  <si>
    <t>Abweichung zur klassischen Physik bzw. Fehler:</t>
  </si>
  <si>
    <t>Grafik: de.wikipedia.org</t>
  </si>
  <si>
    <t>Grafik; mrd-of-galaxie.npage.de</t>
  </si>
  <si>
    <t>Grafik:  erlangen.physicsmasterclasses.org</t>
  </si>
  <si>
    <t>Grafik:  ap.iqo.uni-hannover.de</t>
  </si>
  <si>
    <t>wuppertal.de</t>
  </si>
  <si>
    <t>Grafik:  lernhelfer.de</t>
  </si>
  <si>
    <t>Grafik:  leifiphysik.de</t>
  </si>
  <si>
    <t>Grafik:  walter.bislins.ch</t>
  </si>
  <si>
    <t>Foto:  Spiegel.de</t>
  </si>
  <si>
    <t>Physikalische Konstanten</t>
  </si>
  <si>
    <t>Die quadratische Lösung der Schrödinger-Gleichung</t>
  </si>
  <si>
    <t>keit des Elektrons und führt direkt zu den Quanten-</t>
  </si>
  <si>
    <t>Elektronen in den Orbitalen beschreiben lassen.</t>
  </si>
  <si>
    <t>Grafik und Text:  sofatutor.com</t>
  </si>
  <si>
    <t>Grafik:  anorganik.chemie.vias.org</t>
  </si>
  <si>
    <t>Seite 9 von 15</t>
  </si>
  <si>
    <t>entspricht der räumlichen Aufenthaltswahrscheinlich-</t>
  </si>
  <si>
    <t>Hauptgruppenelemente:</t>
  </si>
  <si>
    <t>Übergangselemente:</t>
  </si>
  <si>
    <t>Lanthanoiden und Actinoiden:</t>
  </si>
  <si>
    <r>
      <t xml:space="preserve">zahlen und dem </t>
    </r>
    <r>
      <rPr>
        <b/>
        <sz val="10"/>
        <color rgb="FF002060"/>
        <rFont val="Arial"/>
        <family val="2"/>
      </rPr>
      <t>Orbital-Modell</t>
    </r>
    <r>
      <rPr>
        <sz val="10"/>
        <color rgb="FF002060"/>
        <rFont val="Arial"/>
        <family val="2"/>
      </rPr>
      <t>, mit denen sich die</t>
    </r>
  </si>
  <si>
    <t xml:space="preserve">Nehmen die Gruppen I bis VIII ein. Außer der Valenzschale sind alle anderen </t>
  </si>
  <si>
    <r>
      <t xml:space="preserve">Charakteristisch ist, dass hier die </t>
    </r>
    <r>
      <rPr>
        <b/>
        <sz val="11"/>
        <color theme="1"/>
        <rFont val="Arial"/>
        <family val="2"/>
      </rPr>
      <t>d-Orbitale</t>
    </r>
    <r>
      <rPr>
        <sz val="11"/>
        <color theme="1"/>
        <rFont val="Arial"/>
        <family val="2"/>
      </rPr>
      <t xml:space="preserve"> aufgefüllt werden.</t>
    </r>
  </si>
  <si>
    <r>
      <t xml:space="preserve">Charakteristisch ist, dass hier die </t>
    </r>
    <r>
      <rPr>
        <b/>
        <sz val="11"/>
        <color theme="1"/>
        <rFont val="Arial"/>
        <family val="2"/>
      </rPr>
      <t>f-Orbitale</t>
    </r>
    <r>
      <rPr>
        <sz val="11"/>
        <color theme="1"/>
        <rFont val="Arial"/>
        <family val="2"/>
      </rPr>
      <t xml:space="preserve"> aufgefüllt werden.</t>
    </r>
  </si>
  <si>
    <t>Spinmagnetquantenzahl</t>
  </si>
  <si>
    <t>Magnetquantenzahl</t>
  </si>
  <si>
    <t>Hauptquantzenzahl</t>
  </si>
  <si>
    <r>
      <t xml:space="preserve">Im Potentialtopf </t>
    </r>
    <r>
      <rPr>
        <b/>
        <u/>
        <sz val="10"/>
        <color rgb="FF002060"/>
        <rFont val="Arial"/>
        <family val="2"/>
      </rPr>
      <t>stehende</t>
    </r>
    <r>
      <rPr>
        <b/>
        <sz val="10"/>
        <color rgb="FF002060"/>
        <rFont val="Arial"/>
        <family val="2"/>
      </rPr>
      <t xml:space="preserve"> Welle</t>
    </r>
  </si>
  <si>
    <t xml:space="preserve">       Berühmteste Formel der Welt!</t>
  </si>
  <si>
    <t>Elementarteilchen</t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</si>
  <si>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 104 MeV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- 1/3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</si>
  <si>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  4,2 GeV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- 1/3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</si>
  <si>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2,40 MeV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  2/3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</si>
  <si>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1,27 GeV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  2/3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</si>
  <si>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171,2 GeV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  2/3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</si>
  <si>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  4,8 MeV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- 1/3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</si>
  <si>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t xml:space="preserve">Masse m: </t>
  </si>
  <si>
    <t xml:space="preserve">Ladung q: </t>
  </si>
  <si>
    <t xml:space="preserve">Spin s: </t>
  </si>
  <si>
    <t>Besteht ein Hadron aus 2 Quarks, zählt es zu den</t>
  </si>
  <si>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Die leichten</t>
    </r>
    <r>
      <rPr>
        <b/>
        <sz val="11"/>
        <color theme="1"/>
        <rFont val="Arial"/>
        <family val="2"/>
      </rPr>
      <t xml:space="preserve"> Leptonen</t>
    </r>
    <r>
      <rPr>
        <sz val="11"/>
        <color theme="1"/>
        <rFont val="Arial"/>
        <family val="2"/>
      </rPr>
      <t xml:space="preserve"> (griech. Leptos = "schwach"): </t>
    </r>
  </si>
  <si>
    <t xml:space="preserve">Protonen: </t>
  </si>
  <si>
    <t xml:space="preserve">Neutronen: </t>
  </si>
  <si>
    <t>Leptonen:</t>
  </si>
  <si>
    <t>Quarks:</t>
  </si>
  <si>
    <t>Es gibt 6 Arten von Leptonen.</t>
  </si>
  <si>
    <t>Es gibt 6 Arten von Bosonen.</t>
  </si>
  <si>
    <t xml:space="preserve">Das Antiteilchen des Elektrons ist das Positron. Es entspricht, bis auf die Ladung </t>
  </si>
  <si>
    <t xml:space="preserve">Mesonen </t>
  </si>
  <si>
    <t xml:space="preserve">Baryonen </t>
  </si>
  <si>
    <t>Materieteilchen wirken.</t>
  </si>
  <si>
    <t>Grafik: wikipedia.org</t>
  </si>
  <si>
    <t>vernichten sie sich gegenseitig und werden zu Energie (Vernichtungsstrahlung).</t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</si>
  <si>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  &lt; 2,2 eV  /</t>
    </r>
    <r>
      <rPr>
        <b/>
        <sz val="11"/>
        <color theme="1"/>
        <rFont val="Arial"/>
        <family val="2"/>
      </rPr>
      <t xml:space="preserve">  Ladung:  </t>
    </r>
    <r>
      <rPr>
        <sz val="11"/>
        <color theme="1"/>
        <rFont val="Arial"/>
        <family val="2"/>
      </rPr>
      <t xml:space="preserve"> 0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</si>
  <si>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&lt; 0,17 MeV  /</t>
    </r>
    <r>
      <rPr>
        <b/>
        <sz val="11"/>
        <color theme="1"/>
        <rFont val="Arial"/>
        <family val="2"/>
      </rPr>
      <t xml:space="preserve">  Ladung:  </t>
    </r>
    <r>
      <rPr>
        <sz val="11"/>
        <color theme="1"/>
        <rFont val="Arial"/>
        <family val="2"/>
      </rPr>
      <t xml:space="preserve"> 0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</si>
  <si>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&lt; 15,5 MeV  /</t>
    </r>
    <r>
      <rPr>
        <b/>
        <sz val="11"/>
        <color theme="1"/>
        <rFont val="Arial"/>
        <family val="2"/>
      </rPr>
      <t xml:space="preserve">  Ladung:  </t>
    </r>
    <r>
      <rPr>
        <sz val="11"/>
        <color theme="1"/>
        <rFont val="Arial"/>
        <family val="2"/>
      </rPr>
      <t xml:space="preserve"> 0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</si>
  <si>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0,511 MeV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-1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</si>
  <si>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105,7 MeV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-1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</si>
  <si>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1,777 GeV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-1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1/2</t>
    </r>
  </si>
  <si>
    <t>Die Sache mit dem Spin!</t>
  </si>
  <si>
    <t xml:space="preserve">Spin = 0:  </t>
  </si>
  <si>
    <t xml:space="preserve">Spin = 1:  </t>
  </si>
  <si>
    <t xml:space="preserve">Spin = 2:  </t>
  </si>
  <si>
    <t xml:space="preserve">Spin = &gt;2:  </t>
  </si>
  <si>
    <t xml:space="preserve">Spin = 1/2:  </t>
  </si>
  <si>
    <t>Zu den Leptonen gehört auch das Elektron.</t>
  </si>
  <si>
    <r>
      <t xml:space="preserve">Zu den Hadronen zählen die Materieteilchen, die aus </t>
    </r>
    <r>
      <rPr>
        <u/>
        <sz val="11"/>
        <color theme="1"/>
        <rFont val="Arial"/>
        <family val="2"/>
      </rPr>
      <t>Quarks</t>
    </r>
    <r>
      <rPr>
        <sz val="11"/>
        <color theme="1"/>
        <rFont val="Arial"/>
        <family val="2"/>
      </rPr>
      <t xml:space="preserve"> aufgebaut sind. </t>
    </r>
  </si>
  <si>
    <r>
      <t xml:space="preserve">so dass die Kräfte, deren Träger sie sind, nur über </t>
    </r>
    <r>
      <rPr>
        <u/>
        <sz val="11"/>
        <color rgb="FF002060"/>
        <rFont val="Arial"/>
        <family val="2"/>
      </rPr>
      <t>sehr kurze</t>
    </r>
    <r>
      <rPr>
        <sz val="11"/>
        <color rgb="FF002060"/>
        <rFont val="Arial"/>
        <family val="2"/>
      </rPr>
      <t xml:space="preserve"> Abstände wirken.</t>
    </r>
  </si>
  <si>
    <t>Alpha(α)-Strahlen:</t>
  </si>
  <si>
    <t>Beta(β)-Strahlen:</t>
  </si>
  <si>
    <t>Gamma(γ)-Strahlen:</t>
  </si>
  <si>
    <r>
      <t xml:space="preserve">Heliumkerne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2 Protonen, 2 Neutronen  </t>
    </r>
    <r>
      <rPr>
        <sz val="11"/>
        <color rgb="FF002060"/>
        <rFont val="Calibri"/>
        <family val="2"/>
      </rPr>
      <t>→ Ladung 2 p</t>
    </r>
    <r>
      <rPr>
        <vertAlign val="superscript"/>
        <sz val="11"/>
        <color rgb="FF002060"/>
        <rFont val="Calibri"/>
        <family val="2"/>
      </rPr>
      <t>+</t>
    </r>
  </si>
  <si>
    <r>
      <t xml:space="preserve">nach der Ladung des Materieteilchens / Körpers, anziehend (+ -) </t>
    </r>
    <r>
      <rPr>
        <u/>
        <sz val="11"/>
        <color rgb="FF002060"/>
        <rFont val="Arial"/>
        <family val="2"/>
      </rPr>
      <t>oder</t>
    </r>
    <r>
      <rPr>
        <sz val="11"/>
        <color rgb="FF002060"/>
        <rFont val="Arial"/>
        <family val="2"/>
      </rPr>
      <t xml:space="preserve"> abstoßend </t>
    </r>
  </si>
  <si>
    <t>Seite 1 von 13</t>
  </si>
  <si>
    <t>Seite 2 von 13</t>
  </si>
  <si>
    <t>Seite 3 von 13</t>
  </si>
  <si>
    <t>Seite 4 von 13</t>
  </si>
  <si>
    <t>Seite 5 von 13</t>
  </si>
  <si>
    <t>Seite 6 von 13</t>
  </si>
  <si>
    <t>Seite 7 von 13</t>
  </si>
  <si>
    <t>Seite 8 von 13</t>
  </si>
  <si>
    <t>Seite 9 von 13</t>
  </si>
  <si>
    <t>Seite 10 von 13</t>
  </si>
  <si>
    <t>Seite 11 von 13</t>
  </si>
  <si>
    <t>Seite 12 von 13</t>
  </si>
  <si>
    <t xml:space="preserve">stärke von der Teilchenergie, d. h. bei hohen    </t>
  </si>
  <si>
    <t xml:space="preserve">Grafik zeigt die Abhängigkeit der Kopplungs-    </t>
  </si>
  <si>
    <r>
      <t>10</t>
    </r>
    <r>
      <rPr>
        <b/>
        <vertAlign val="superscript"/>
        <sz val="11"/>
        <color theme="1"/>
        <rFont val="Arial"/>
        <family val="2"/>
      </rPr>
      <t>-5</t>
    </r>
  </si>
  <si>
    <r>
      <t>10</t>
    </r>
    <r>
      <rPr>
        <b/>
        <vertAlign val="superscript"/>
        <sz val="11"/>
        <color theme="1"/>
        <rFont val="Arial"/>
        <family val="2"/>
      </rPr>
      <t>-43</t>
    </r>
  </si>
  <si>
    <r>
      <t>10</t>
    </r>
    <r>
      <rPr>
        <b/>
        <vertAlign val="superscript"/>
        <sz val="11"/>
        <color theme="1"/>
        <rFont val="Arial"/>
        <family val="2"/>
      </rPr>
      <t>-2</t>
    </r>
  </si>
  <si>
    <r>
      <t>10</t>
    </r>
    <r>
      <rPr>
        <b/>
        <vertAlign val="superscript"/>
        <sz val="11"/>
        <color theme="1"/>
        <rFont val="Arial"/>
        <family val="2"/>
      </rPr>
      <t>-15</t>
    </r>
    <r>
      <rPr>
        <b/>
        <sz val="11"/>
        <color theme="1"/>
        <rFont val="Arial"/>
        <family val="2"/>
      </rPr>
      <t xml:space="preserve"> m</t>
    </r>
  </si>
  <si>
    <t>unendlich</t>
  </si>
  <si>
    <r>
      <t>10</t>
    </r>
    <r>
      <rPr>
        <b/>
        <vertAlign val="superscript"/>
        <sz val="11"/>
        <color theme="1"/>
        <rFont val="Arial"/>
        <family val="2"/>
      </rPr>
      <t xml:space="preserve">-17 </t>
    </r>
    <r>
      <rPr>
        <b/>
        <sz val="11"/>
        <color theme="1"/>
        <rFont val="Arial"/>
        <family val="2"/>
      </rPr>
      <t>m</t>
    </r>
  </si>
  <si>
    <r>
      <t xml:space="preserve">Aspekte einer </t>
    </r>
    <r>
      <rPr>
        <b/>
        <sz val="11"/>
        <color theme="1"/>
        <rFont val="Arial"/>
        <family val="2"/>
      </rPr>
      <t>einzigen Kraft bzw. Wechelwirkung</t>
    </r>
    <r>
      <rPr>
        <sz val="11"/>
        <color theme="1"/>
        <rFont val="Arial"/>
        <family val="2"/>
      </rPr>
      <t xml:space="preserve"> erweisen. Eine weitere Vorhersage lautet, dass bei </t>
    </r>
  </si>
  <si>
    <t>dieselben wären, womit es dann zur Vereinheitlichung käme, samt den sich daraus ergebenden Prognosen,</t>
  </si>
  <si>
    <t xml:space="preserve">dieser Energie die Teilchen mit Spin 1/2 (also Materieteilchen wie Quarks und Elektronen) im wesentlichen </t>
  </si>
  <si>
    <t xml:space="preserve"> u. a. auch die, dass Protonen spontan in leichtere Teilchen, wie z. B. auch Antielektronen, zerfallen können. </t>
  </si>
  <si>
    <t xml:space="preserve">Das liegt möglicherweise daran, dass es von der Theorie her keinen wesentlichen Unterschied mehr gibt </t>
  </si>
  <si>
    <r>
      <t>(taxiert auf 10</t>
    </r>
    <r>
      <rPr>
        <vertAlign val="superscript"/>
        <sz val="11"/>
        <color theme="1"/>
        <rFont val="Arial"/>
        <family val="2"/>
      </rPr>
      <t>24</t>
    </r>
    <r>
      <rPr>
        <sz val="11"/>
        <color theme="1"/>
        <rFont val="Arial"/>
        <family val="2"/>
      </rPr>
      <t xml:space="preserve"> eV = 160 kJ, Teilchenbeschleuniger müssten die Größe unseres Sonnensystems haben),</t>
    </r>
  </si>
  <si>
    <t>zwischen einem Quark und einem Antielektron. Unter normalen Umständen reicht die Energie der 3 Quarks</t>
  </si>
  <si>
    <t xml:space="preserve">in einem Proton nicht aus, um sich in Antielektronen zu verwandeln. Ganz auszuschließen ist der Vorgang </t>
  </si>
  <si>
    <t xml:space="preserve">(asymthotisch nicht frei). Bei einer gewissen sehr hohen Energie, der großen Vereinheitlichungsenergie </t>
  </si>
  <si>
    <r>
      <t xml:space="preserve">Der Grundgedanke der Theorie besagt, dass bei hoher Energie die </t>
    </r>
    <r>
      <rPr>
        <b/>
        <sz val="11"/>
        <color rgb="FFC00000"/>
        <rFont val="Arial"/>
        <family val="2"/>
      </rPr>
      <t>starke</t>
    </r>
    <r>
      <rPr>
        <b/>
        <sz val="11"/>
        <rFont val="Arial"/>
        <family val="2"/>
      </rPr>
      <t xml:space="preserve"> Wechselwirkung</t>
    </r>
    <r>
      <rPr>
        <sz val="11"/>
        <color theme="1"/>
        <rFont val="Arial"/>
        <family val="2"/>
      </rPr>
      <t xml:space="preserve"> schwächer </t>
    </r>
  </si>
  <si>
    <r>
      <t xml:space="preserve">wird (asymptotisch frei) und die </t>
    </r>
    <r>
      <rPr>
        <b/>
        <sz val="11"/>
        <color theme="6" tint="-0.249977111117893"/>
        <rFont val="Arial"/>
        <family val="2"/>
      </rPr>
      <t>schwache</t>
    </r>
    <r>
      <rPr>
        <sz val="11"/>
        <rFont val="Arial"/>
        <family val="2"/>
      </rPr>
      <t xml:space="preserve"> und </t>
    </r>
    <r>
      <rPr>
        <b/>
        <sz val="11"/>
        <color rgb="FF0070C0"/>
        <rFont val="Arial"/>
        <family val="2"/>
      </rPr>
      <t>elektromagnetische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Wechselwirkung</t>
    </r>
    <r>
      <rPr>
        <sz val="11"/>
        <color theme="1"/>
        <rFont val="Arial"/>
        <family val="2"/>
      </rPr>
      <t xml:space="preserve"> stärker werden </t>
    </r>
  </si>
  <si>
    <t xml:space="preserve">   Gluonen</t>
  </si>
  <si>
    <r>
      <t xml:space="preserve">   Z</t>
    </r>
    <r>
      <rPr>
        <vertAlign val="super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und W</t>
    </r>
    <r>
      <rPr>
        <vertAlign val="superscript"/>
        <sz val="11"/>
        <color theme="1"/>
        <rFont val="Arial"/>
        <family val="2"/>
      </rPr>
      <t>±</t>
    </r>
    <r>
      <rPr>
        <sz val="11"/>
        <color theme="1"/>
        <rFont val="Arial"/>
        <family val="2"/>
      </rPr>
      <t xml:space="preserve"> - Bosonen</t>
    </r>
  </si>
  <si>
    <t>Seite 13 von 13</t>
  </si>
  <si>
    <t>Coulombkraft</t>
  </si>
  <si>
    <t>Bahndrehimpuls</t>
  </si>
  <si>
    <t>Zentriepedalkraft</t>
  </si>
  <si>
    <r>
      <t xml:space="preserve">Der </t>
    </r>
    <r>
      <rPr>
        <b/>
        <sz val="11"/>
        <color rgb="FF002060"/>
        <rFont val="Arial"/>
        <family val="2"/>
      </rPr>
      <t>Grundzustand n = 1</t>
    </r>
    <r>
      <rPr>
        <sz val="11"/>
        <color rgb="FF002060"/>
        <rFont val="Arial"/>
        <family val="2"/>
      </rPr>
      <t xml:space="preserve"> ist der stabilste</t>
    </r>
  </si>
  <si>
    <r>
      <t xml:space="preserve">(n = 1 ist der erste und kleinste Radius und wird </t>
    </r>
    <r>
      <rPr>
        <b/>
        <sz val="10"/>
        <rFont val="Arial"/>
        <family val="2"/>
      </rPr>
      <t>Bohrscher Radius</t>
    </r>
    <r>
      <rPr>
        <sz val="10"/>
        <rFont val="Arial"/>
        <family val="2"/>
      </rPr>
      <t xml:space="preserve"> genannt)</t>
    </r>
  </si>
  <si>
    <t xml:space="preserve">                 Je nach dem, von welchem Energie-</t>
  </si>
  <si>
    <t xml:space="preserve"> ganzzahlig!</t>
  </si>
  <si>
    <r>
      <t xml:space="preserve">Wie groß ist die </t>
    </r>
    <r>
      <rPr>
        <b/>
        <sz val="11"/>
        <color theme="1"/>
        <rFont val="Arial"/>
        <family val="2"/>
      </rPr>
      <t xml:space="preserve">Gravitationskraft </t>
    </r>
    <r>
      <rPr>
        <sz val="11"/>
        <color theme="1"/>
        <rFont val="Arial"/>
        <family val="2"/>
      </rPr>
      <t>zwischen Kern und Elektron?</t>
    </r>
  </si>
  <si>
    <t>Umlaufgeschwindigkeit des Elektrons:</t>
  </si>
  <si>
    <r>
      <t>s (</t>
    </r>
    <r>
      <rPr>
        <b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>harp) - Orbitale: kugelförmig</t>
    </r>
  </si>
  <si>
    <r>
      <t>p (</t>
    </r>
    <r>
      <rPr>
        <b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rincipal) - Orbitale: hantelförmig</t>
    </r>
  </si>
  <si>
    <r>
      <t>d (</t>
    </r>
    <r>
      <rPr>
        <b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iffuse) - Orbitale: Doppelhantel gekreuzt </t>
    </r>
  </si>
  <si>
    <r>
      <t>f (</t>
    </r>
    <r>
      <rPr>
        <b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>undamental) - Orbitale: rosettenförmig</t>
    </r>
  </si>
  <si>
    <t>Mit welcher Geschwindigkeit müsste sich das Elektron bewegen, um</t>
  </si>
  <si>
    <r>
      <t>ʃʃʃ |Ψ</t>
    </r>
    <r>
      <rPr>
        <b/>
        <vertAlign val="subscript"/>
        <sz val="14"/>
        <color theme="1"/>
        <rFont val="Calibri"/>
        <family val="2"/>
      </rPr>
      <t>(</t>
    </r>
    <r>
      <rPr>
        <b/>
        <vertAlign val="subscript"/>
        <sz val="18"/>
        <color theme="1"/>
        <rFont val="Calibri"/>
        <family val="2"/>
      </rPr>
      <t>r</t>
    </r>
    <r>
      <rPr>
        <b/>
        <vertAlign val="subscript"/>
        <sz val="14"/>
        <color theme="1"/>
        <rFont val="Calibri"/>
        <family val="2"/>
      </rPr>
      <t>)</t>
    </r>
    <r>
      <rPr>
        <b/>
        <sz val="14"/>
        <color theme="1"/>
        <rFont val="Calibri"/>
        <family val="2"/>
      </rPr>
      <t>|²</t>
    </r>
    <r>
      <rPr>
        <b/>
        <sz val="14"/>
        <color theme="1"/>
        <rFont val="Arial"/>
        <family val="2"/>
      </rPr>
      <t>·</t>
    </r>
    <r>
      <rPr>
        <b/>
        <sz val="14"/>
        <color theme="1"/>
        <rFont val="Calibri"/>
        <family val="2"/>
      </rPr>
      <t>Δ V = 1</t>
    </r>
  </si>
  <si>
    <t xml:space="preserve">Ruhe-Masse Proton: </t>
  </si>
  <si>
    <t>des Beobachters</t>
  </si>
  <si>
    <r>
      <t xml:space="preserve">                niveau </t>
    </r>
    <r>
      <rPr>
        <b/>
        <sz val="11"/>
        <color rgb="FF002060"/>
        <rFont val="Arial"/>
        <family val="2"/>
      </rPr>
      <t>n</t>
    </r>
    <r>
      <rPr>
        <sz val="11"/>
        <color rgb="FF002060"/>
        <rFont val="Arial"/>
        <family val="2"/>
      </rPr>
      <t xml:space="preserve"> man ausgeht, erhält man </t>
    </r>
  </si>
  <si>
    <t xml:space="preserve">                 verschiedene Liniensprektren für H:</t>
  </si>
  <si>
    <r>
      <t>| 1s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| 2s</t>
    </r>
    <r>
      <rPr>
        <b/>
        <vertAlign val="superscript"/>
        <sz val="11"/>
        <color theme="1"/>
        <rFont val="Arial"/>
        <family val="2"/>
      </rPr>
      <t xml:space="preserve">2  </t>
    </r>
    <r>
      <rPr>
        <b/>
        <sz val="11"/>
        <color theme="1"/>
        <rFont val="Arial"/>
        <family val="2"/>
      </rPr>
      <t>2p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| 3s</t>
    </r>
    <r>
      <rPr>
        <b/>
        <vertAlign val="superscript"/>
        <sz val="11"/>
        <color theme="1"/>
        <rFont val="Arial"/>
        <family val="2"/>
      </rPr>
      <t xml:space="preserve">2  </t>
    </r>
    <r>
      <rPr>
        <b/>
        <sz val="11"/>
        <color theme="1"/>
        <rFont val="Arial"/>
        <family val="2"/>
      </rPr>
      <t>3p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3d</t>
    </r>
    <r>
      <rPr>
        <b/>
        <vertAlign val="superscript"/>
        <sz val="11"/>
        <color theme="1"/>
        <rFont val="Arial"/>
        <family val="2"/>
      </rPr>
      <t>10</t>
    </r>
    <r>
      <rPr>
        <b/>
        <sz val="11"/>
        <color theme="1"/>
        <rFont val="Arial"/>
        <family val="2"/>
      </rPr>
      <t xml:space="preserve"> | 4s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4p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5s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5p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6s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| 5s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 5p</t>
    </r>
    <r>
      <rPr>
        <b/>
        <vertAlign val="superscript"/>
        <sz val="11"/>
        <color theme="1"/>
        <rFont val="Arial"/>
        <family val="2"/>
      </rPr>
      <t>6</t>
    </r>
    <r>
      <rPr>
        <b/>
        <sz val="11"/>
        <color theme="1"/>
        <rFont val="Arial"/>
        <family val="2"/>
      </rPr>
      <t xml:space="preserve">   6s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|</t>
    </r>
  </si>
  <si>
    <r>
      <t xml:space="preserve">  Zentriepedalkraft F</t>
    </r>
    <r>
      <rPr>
        <vertAlign val="subscript"/>
        <sz val="10"/>
        <color rgb="FF002060"/>
        <rFont val="Arial"/>
        <family val="2"/>
      </rPr>
      <t>Z</t>
    </r>
    <r>
      <rPr>
        <sz val="10"/>
        <color rgb="FF002060"/>
        <rFont val="Arial"/>
        <family val="2"/>
      </rPr>
      <t xml:space="preserve"> = Coulombkraft F</t>
    </r>
    <r>
      <rPr>
        <vertAlign val="subscript"/>
        <sz val="10"/>
        <color rgb="FF002060"/>
        <rFont val="Arial"/>
        <family val="2"/>
      </rPr>
      <t>C</t>
    </r>
  </si>
  <si>
    <t>Berechnungen zum Wasserstoffatom mit Kernladungszahl Z = 1</t>
  </si>
  <si>
    <r>
      <t xml:space="preserve">Wie groß ist die </t>
    </r>
    <r>
      <rPr>
        <b/>
        <sz val="11"/>
        <color theme="1"/>
        <rFont val="Arial"/>
        <family val="2"/>
      </rPr>
      <t>Elektrische Feldstärke</t>
    </r>
    <r>
      <rPr>
        <sz val="11"/>
        <color theme="1"/>
        <rFont val="Arial"/>
        <family val="2"/>
      </rPr>
      <t xml:space="preserve"> zwischen Kern und Elektron?</t>
    </r>
  </si>
  <si>
    <r>
      <t>Energetisch am günstigsten (</t>
    </r>
    <r>
      <rPr>
        <sz val="11"/>
        <color theme="1"/>
        <rFont val="Arial"/>
        <family val="2"/>
      </rPr>
      <t>geringste Energie) sind die s-Orbitale.</t>
    </r>
  </si>
  <si>
    <r>
      <t>Auffüllung der d-Orbitale (Besetzung der Übergangselemente / Zwischengruppe) z. B. Zink (</t>
    </r>
    <r>
      <rPr>
        <b/>
        <sz val="11"/>
        <color theme="1"/>
        <rFont val="Arial"/>
        <family val="2"/>
      </rPr>
      <t>Zn</t>
    </r>
    <r>
      <rPr>
        <sz val="11"/>
        <color theme="1"/>
        <rFont val="Arial"/>
        <family val="2"/>
      </rPr>
      <t>): 1s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2p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 3s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3p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 3d</t>
    </r>
    <r>
      <rPr>
        <vertAlign val="superscript"/>
        <sz val="11"/>
        <color theme="1"/>
        <rFont val="Arial"/>
        <family val="2"/>
      </rPr>
      <t>10</t>
    </r>
    <r>
      <rPr>
        <sz val="11"/>
        <color theme="1"/>
        <rFont val="Arial"/>
        <family val="2"/>
      </rPr>
      <t xml:space="preserve">  4s</t>
    </r>
    <r>
      <rPr>
        <vertAlign val="superscript"/>
        <sz val="11"/>
        <color theme="1"/>
        <rFont val="Arial"/>
        <family val="2"/>
      </rPr>
      <t>2</t>
    </r>
  </si>
  <si>
    <t>Die Benennung der Orbitale ist historisch bedingt.</t>
  </si>
  <si>
    <t xml:space="preserve"> =</t>
  </si>
  <si>
    <r>
      <t>p</t>
    </r>
    <r>
      <rPr>
        <vertAlign val="sub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 xml:space="preserve"> = </t>
    </r>
  </si>
  <si>
    <t>Δp =</t>
  </si>
  <si>
    <r>
      <t>m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</t>
    </r>
  </si>
  <si>
    <t>Relativistischer Impuls:</t>
  </si>
  <si>
    <t xml:space="preserve">Sinn ergibt die De Broglie Wellenlänge nur im atomaren Bereich (Protonen, ...). So lassen </t>
  </si>
  <si>
    <t xml:space="preserve">Somit beträgt die </t>
  </si>
  <si>
    <r>
      <rPr>
        <b/>
        <sz val="10"/>
        <color theme="1"/>
        <rFont val="Arial"/>
        <family val="2"/>
      </rPr>
      <t>Umlaufgeschwindigkeit</t>
    </r>
    <r>
      <rPr>
        <sz val="11"/>
        <color theme="1"/>
        <rFont val="Calibri"/>
        <family val="2"/>
        <scheme val="minor"/>
      </rPr>
      <t>:</t>
    </r>
  </si>
  <si>
    <t>Beitrag basiert auf der Veröffentlichung</t>
  </si>
  <si>
    <t>"Aussehen relativistisch bewegter Objekte"</t>
  </si>
  <si>
    <t>J. Kern, U. Kraus, B. Lehle, R. Rau, H. Ruder</t>
  </si>
  <si>
    <t>Heft 2/1997, S 2-6</t>
  </si>
  <si>
    <t>Praxis der Naturwissenschaften Physik</t>
  </si>
  <si>
    <t>Seite 3 von 3</t>
  </si>
  <si>
    <t>Seite 2 von 3</t>
  </si>
  <si>
    <t>Seite 1 von 3</t>
  </si>
  <si>
    <r>
      <t>h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</t>
    </r>
  </si>
  <si>
    <t>[m]</t>
  </si>
  <si>
    <t>[μs]</t>
  </si>
  <si>
    <r>
      <t>h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 </t>
    </r>
  </si>
  <si>
    <t>benötigen die</t>
  </si>
  <si>
    <t>Bezugssystem</t>
  </si>
  <si>
    <t>Vom "ruhenden"</t>
  </si>
  <si>
    <t>Myonen für die</t>
  </si>
  <si>
    <t>Vom "bewegten"</t>
  </si>
  <si>
    <t xml:space="preserve">beträgt die </t>
  </si>
  <si>
    <t>zur Erdoberfläche:</t>
  </si>
  <si>
    <t>[1]</t>
  </si>
  <si>
    <t>Faktor</t>
  </si>
  <si>
    <t>Beboachtete (Empfänger-) Wellenlänge (Messwert):</t>
  </si>
  <si>
    <r>
      <t>Rot</t>
    </r>
    <r>
      <rPr>
        <b/>
        <sz val="10"/>
        <color rgb="FFC00000"/>
        <rFont val="Arial"/>
        <family val="2"/>
      </rPr>
      <t>(+)</t>
    </r>
    <r>
      <rPr>
        <sz val="10"/>
        <color theme="1"/>
        <rFont val="Arial"/>
        <family val="2"/>
      </rPr>
      <t>-bzw. Blau</t>
    </r>
    <r>
      <rPr>
        <b/>
        <sz val="10"/>
        <color rgb="FF0070C0"/>
        <rFont val="Arial"/>
        <family val="2"/>
      </rPr>
      <t>(-)</t>
    </r>
    <r>
      <rPr>
        <sz val="10"/>
        <color theme="1"/>
        <rFont val="Arial"/>
        <family val="2"/>
      </rPr>
      <t>-Verschiebung:</t>
    </r>
  </si>
  <si>
    <r>
      <rPr>
        <sz val="10"/>
        <color theme="1"/>
        <rFont val="Arial"/>
        <family val="2"/>
      </rPr>
      <t>(</t>
    </r>
    <r>
      <rPr>
        <b/>
        <sz val="10"/>
        <color rgb="FFC00000"/>
        <rFont val="Arial"/>
        <family val="2"/>
      </rPr>
      <t xml:space="preserve">+ bei Entfernung </t>
    </r>
    <r>
      <rPr>
        <b/>
        <sz val="10"/>
        <color theme="1"/>
        <rFont val="Arial"/>
        <family val="2"/>
      </rPr>
      <t xml:space="preserve"> / </t>
    </r>
    <r>
      <rPr>
        <sz val="10"/>
        <color rgb="FF0070C0"/>
        <rFont val="Arial"/>
        <family val="2"/>
      </rPr>
      <t>-</t>
    </r>
    <r>
      <rPr>
        <b/>
        <sz val="10"/>
        <color rgb="FF0070C0"/>
        <rFont val="Arial"/>
        <family val="2"/>
      </rPr>
      <t xml:space="preserve"> bei Annäherung</t>
    </r>
    <r>
      <rPr>
        <sz val="10"/>
        <color theme="1"/>
        <rFont val="Arial"/>
        <family val="2"/>
      </rPr>
      <t>)</t>
    </r>
    <r>
      <rPr>
        <b/>
        <sz val="10"/>
        <color theme="1"/>
        <rFont val="Arial"/>
        <family val="2"/>
      </rPr>
      <t xml:space="preserve"> </t>
    </r>
  </si>
  <si>
    <t xml:space="preserve">         </t>
  </si>
  <si>
    <t xml:space="preserve">      Christian Doppler (1803 - 1853)</t>
  </si>
  <si>
    <t xml:space="preserve">gleicher Temperatur. Dem ideal schwarzen Körper am nächsten kommt der Hohl- </t>
  </si>
  <si>
    <t>raum. Er hat den höchsten Absorptions- und Emissionsgrad.</t>
  </si>
  <si>
    <t>Grafik Formel:  schulphysik.de</t>
  </si>
  <si>
    <r>
      <t xml:space="preserve">Die Gleichung besagt, dass für </t>
    </r>
    <r>
      <rPr>
        <b/>
        <sz val="11"/>
        <color theme="1"/>
        <rFont val="Arial"/>
        <family val="2"/>
      </rPr>
      <t/>
    </r>
  </si>
  <si>
    <r>
      <rPr>
        <sz val="10"/>
        <rFont val="Calibri"/>
        <family val="2"/>
      </rPr>
      <t>↑</t>
    </r>
    <r>
      <rPr>
        <sz val="10"/>
        <rFont val="Arial"/>
        <family val="2"/>
      </rPr>
      <t xml:space="preserve"> Formel mit relativistischer Korrektur.</t>
    </r>
  </si>
  <si>
    <t>Bild:  relativity.li</t>
  </si>
  <si>
    <r>
      <t xml:space="preserve">Der Zwilling </t>
    </r>
    <r>
      <rPr>
        <b/>
        <sz val="11"/>
        <color rgb="FF002060"/>
        <rFont val="Arial"/>
        <family val="2"/>
      </rPr>
      <t>Max</t>
    </r>
    <r>
      <rPr>
        <sz val="11"/>
        <color rgb="FF002060"/>
        <rFont val="Arial"/>
        <family val="2"/>
      </rPr>
      <t xml:space="preserve"> reist in seiner Rakete mit der Gechwindigkeit </t>
    </r>
    <r>
      <rPr>
        <b/>
        <sz val="11"/>
        <color rgb="FF002060"/>
        <rFont val="Arial"/>
        <family val="2"/>
      </rPr>
      <t>v = 0,8 c</t>
    </r>
    <r>
      <rPr>
        <sz val="11"/>
        <color rgb="FF002060"/>
        <rFont val="Arial"/>
        <family val="2"/>
      </rPr>
      <t xml:space="preserve"> zu einem fernen Stern, kehrt </t>
    </r>
  </si>
  <si>
    <t>Grafik:  solstation.com</t>
  </si>
  <si>
    <r>
      <rPr>
        <sz val="10"/>
        <color rgb="FF252525"/>
        <rFont val="Calibri"/>
        <family val="2"/>
      </rPr>
      <t>α-</t>
    </r>
    <r>
      <rPr>
        <sz val="10"/>
        <color rgb="FF252525"/>
        <rFont val="Arial"/>
        <family val="2"/>
      </rPr>
      <t>Centauri A, α-Centauri B, Proxima Centauri (α-Centauri C).</t>
    </r>
  </si>
  <si>
    <t>Andromeda Galaxi M31 (Durchmesser 140000 Lj),</t>
  </si>
  <si>
    <t>die Entfernung zu unserer Galxis beträgt 2,5 Mio Lichtjahre.</t>
  </si>
  <si>
    <t>mehr gegeben ist.</t>
  </si>
  <si>
    <t>gangen, dass nach 5</t>
  </si>
  <si>
    <t>HWZ keine Relevanz</t>
  </si>
  <si>
    <t xml:space="preserve"> i. d. R. davon ausge-</t>
  </si>
  <si>
    <r>
      <t xml:space="preserve">Drehpunkt der Rakete bei </t>
    </r>
    <r>
      <rPr>
        <b/>
        <sz val="11"/>
        <color rgb="FFC00000"/>
        <rFont val="Arial"/>
        <family val="2"/>
      </rPr>
      <t>R</t>
    </r>
    <r>
      <rPr>
        <sz val="11"/>
        <color theme="1"/>
        <rFont val="Arial"/>
        <family val="2"/>
      </rPr>
      <t xml:space="preserve"> (= halbe Distanz):</t>
    </r>
  </si>
  <si>
    <t>Wien-Konstante:</t>
  </si>
  <si>
    <r>
      <t>Raumsonde Helios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300 kg  / v = 252000 km/h =70 km/s </t>
    </r>
    <r>
      <rPr>
        <sz val="10"/>
        <color rgb="FF002060"/>
        <rFont val="Calibri"/>
        <family val="2"/>
      </rPr>
      <t>→</t>
    </r>
    <r>
      <rPr>
        <sz val="10"/>
        <color rgb="FF002060"/>
        <rFont val="Arial"/>
        <family val="2"/>
      </rPr>
      <t xml:space="preserve"> praktisch kein Effekt!</t>
    </r>
  </si>
  <si>
    <r>
      <t xml:space="preserve">Geschwindigkeiten in Teilchenbeschleunigern </t>
    </r>
    <r>
      <rPr>
        <sz val="10"/>
        <color rgb="FF002060"/>
        <rFont val="Calibri"/>
        <family val="2"/>
      </rPr>
      <t>→</t>
    </r>
    <r>
      <rPr>
        <sz val="10"/>
        <color rgb="FF002060"/>
        <rFont val="Arial"/>
        <family val="2"/>
      </rPr>
      <t xml:space="preserve"> relevanter Effekt, siehe Grafik links.</t>
    </r>
  </si>
  <si>
    <t xml:space="preserve">                                Relativistische Masse:</t>
  </si>
  <si>
    <r>
      <t>Sonne M = 1,989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30</t>
    </r>
    <r>
      <rPr>
        <sz val="10"/>
        <color rgb="FF002060"/>
        <rFont val="Arial"/>
        <family val="2"/>
      </rPr>
      <t xml:space="preserve"> kg; r = 696000 km</t>
    </r>
  </si>
  <si>
    <r>
      <t>Jupiter M = 1,898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27</t>
    </r>
    <r>
      <rPr>
        <sz val="10"/>
        <color rgb="FF002060"/>
        <rFont val="Arial"/>
        <family val="2"/>
      </rPr>
      <t xml:space="preserve"> kg; r = 69911 km</t>
    </r>
  </si>
  <si>
    <r>
      <t>Erde: M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Erdradius r = 6373 km / Mond: M = 7,348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22</t>
    </r>
    <r>
      <rPr>
        <sz val="10"/>
        <color rgb="FF002060"/>
        <rFont val="Arial"/>
        <family val="2"/>
      </rPr>
      <t xml:space="preserve"> kg / r = 1737 km </t>
    </r>
  </si>
  <si>
    <r>
      <t>Sonne M</t>
    </r>
    <r>
      <rPr>
        <vertAlign val="subscript"/>
        <sz val="10"/>
        <color rgb="FF002060"/>
        <rFont val="Arial"/>
        <family val="2"/>
      </rPr>
      <t>1</t>
    </r>
    <r>
      <rPr>
        <sz val="10"/>
        <color rgb="FF002060"/>
        <rFont val="Arial"/>
        <family val="2"/>
      </rPr>
      <t xml:space="preserve"> = 1,99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30</t>
    </r>
    <r>
      <rPr>
        <sz val="10"/>
        <color rgb="FF002060"/>
        <rFont val="Arial"/>
        <family val="2"/>
      </rPr>
      <t xml:space="preserve"> kg / Erde M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Große Halbachse a = 1,49598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11</t>
    </r>
    <r>
      <rPr>
        <sz val="10"/>
        <color rgb="FF002060"/>
        <rFont val="Arial"/>
        <family val="2"/>
      </rPr>
      <t xml:space="preserve"> m</t>
    </r>
  </si>
  <si>
    <r>
      <t>α-Teilchen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6,68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-27</t>
    </r>
    <r>
      <rPr>
        <sz val="10"/>
        <color rgb="FF002060"/>
        <rFont val="Arial"/>
        <family val="2"/>
      </rPr>
      <t xml:space="preserve"> kg / Proton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1,6725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 xml:space="preserve">-27 </t>
    </r>
    <r>
      <rPr>
        <sz val="10"/>
        <color rgb="FF002060"/>
        <rFont val="Arial"/>
        <family val="2"/>
      </rPr>
      <t xml:space="preserve">kg und Elektronen bei hohen </t>
    </r>
  </si>
  <si>
    <r>
      <t>Jupiter: M = 1,898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27</t>
    </r>
    <r>
      <rPr>
        <sz val="10"/>
        <color rgb="FF002060"/>
        <rFont val="Arial"/>
        <family val="2"/>
      </rPr>
      <t xml:space="preserve"> kg / R = 69911 km / R</t>
    </r>
    <r>
      <rPr>
        <vertAlign val="subscript"/>
        <sz val="10"/>
        <color rgb="FF002060"/>
        <rFont val="Arial"/>
        <family val="2"/>
      </rPr>
      <t>S</t>
    </r>
    <r>
      <rPr>
        <sz val="10"/>
        <color rgb="FF002060"/>
        <rFont val="Arial"/>
        <family val="2"/>
      </rPr>
      <t xml:space="preserve"> = 0,002818928203 km (2,8198928203 m)</t>
    </r>
  </si>
  <si>
    <r>
      <t>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mol</t>
    </r>
    <r>
      <rPr>
        <vertAlign val="superscript"/>
        <sz val="11"/>
        <color theme="1"/>
        <rFont val="Arial"/>
        <family val="2"/>
      </rPr>
      <t>-1</t>
    </r>
  </si>
  <si>
    <r>
      <t>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 xml:space="preserve">-1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</si>
  <si>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r>
      <t xml:space="preserve">m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</si>
  <si>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r>
      <t xml:space="preserve">m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-1</t>
    </r>
  </si>
  <si>
    <r>
      <t xml:space="preserve">A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 xml:space="preserve">s / V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m</t>
    </r>
  </si>
  <si>
    <r>
      <t xml:space="preserve">N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A</t>
    </r>
    <r>
      <rPr>
        <vertAlign val="superscript"/>
        <sz val="11"/>
        <color theme="1"/>
        <rFont val="Arial"/>
        <family val="2"/>
      </rPr>
      <t>-2</t>
    </r>
  </si>
  <si>
    <r>
      <t xml:space="preserve">C </t>
    </r>
    <r>
      <rPr>
        <sz val="11"/>
        <color theme="1"/>
        <rFont val="Calibri"/>
        <family val="2"/>
      </rPr>
      <t xml:space="preserve">∙ </t>
    </r>
    <r>
      <rPr>
        <sz val="11"/>
        <color theme="1"/>
        <rFont val="Arial"/>
        <family val="2"/>
      </rPr>
      <t>mol</t>
    </r>
    <r>
      <rPr>
        <vertAlign val="superscript"/>
        <sz val="11"/>
        <color theme="1"/>
        <rFont val="Arial"/>
        <family val="2"/>
      </rPr>
      <t>-1</t>
    </r>
  </si>
  <si>
    <t>MeV</t>
  </si>
  <si>
    <t xml:space="preserve">1 eV = </t>
  </si>
  <si>
    <t xml:space="preserve"> J</t>
  </si>
  <si>
    <r>
      <t xml:space="preserve">sich in Teilchenbeschleunigern (v </t>
    </r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c) hochenergetische Teilchen mit kleinen Wellenlängen</t>
    </r>
  </si>
  <si>
    <t>(hohen Frequenzen / Energien) erzeugen, die zur Untersuchung atomarer Strukturen oder in</t>
  </si>
  <si>
    <t>.</t>
  </si>
  <si>
    <t>Stoßexperimenten zur Erzeugung von (neuen) Elenentarteilchen verwendet werden können</t>
  </si>
  <si>
    <r>
      <t>t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</t>
    </r>
  </si>
  <si>
    <r>
      <t>t</t>
    </r>
    <r>
      <rPr>
        <vertAlign val="subscript"/>
        <sz val="11"/>
        <color theme="1"/>
        <rFont val="Arial"/>
        <family val="2"/>
      </rPr>
      <t>1'</t>
    </r>
    <r>
      <rPr>
        <sz val="11"/>
        <color theme="1"/>
        <rFont val="Arial"/>
        <family val="2"/>
      </rPr>
      <t xml:space="preserve"> =</t>
    </r>
  </si>
  <si>
    <r>
      <t>s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 </t>
    </r>
  </si>
  <si>
    <r>
      <t>s</t>
    </r>
    <r>
      <rPr>
        <vertAlign val="subscript"/>
        <sz val="11"/>
        <color theme="1"/>
        <rFont val="Arial"/>
        <family val="2"/>
      </rPr>
      <t>1'</t>
    </r>
    <r>
      <rPr>
        <sz val="11"/>
        <color theme="1"/>
        <rFont val="Arial"/>
        <family val="2"/>
      </rPr>
      <t xml:space="preserve"> = </t>
    </r>
  </si>
  <si>
    <r>
      <t>s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=</t>
    </r>
  </si>
  <si>
    <r>
      <t>s</t>
    </r>
    <r>
      <rPr>
        <vertAlign val="subscript"/>
        <sz val="11"/>
        <color theme="1"/>
        <rFont val="Arial"/>
        <family val="2"/>
      </rPr>
      <t>2'</t>
    </r>
    <r>
      <rPr>
        <sz val="11"/>
        <color theme="1"/>
        <rFont val="Arial"/>
        <family val="2"/>
      </rPr>
      <t xml:space="preserve"> =</t>
    </r>
  </si>
  <si>
    <r>
      <t>t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=</t>
    </r>
  </si>
  <si>
    <r>
      <t>t</t>
    </r>
    <r>
      <rPr>
        <vertAlign val="subscript"/>
        <sz val="11"/>
        <color theme="1"/>
        <rFont val="Arial"/>
        <family val="2"/>
      </rPr>
      <t>2'</t>
    </r>
    <r>
      <rPr>
        <sz val="11"/>
        <color theme="1"/>
        <rFont val="Arial"/>
        <family val="2"/>
      </rPr>
      <t xml:space="preserve"> =</t>
    </r>
  </si>
  <si>
    <t>(n-1) 0, 1, 2, … ,</t>
  </si>
  <si>
    <t>Orbitale sind durch 4 Quantenzahlen klassifiziert:</t>
  </si>
  <si>
    <t>±½</t>
  </si>
  <si>
    <r>
      <rPr>
        <sz val="11"/>
        <color rgb="FF002060"/>
        <rFont val="Bell MT"/>
        <family val="1"/>
      </rPr>
      <t>±</t>
    </r>
    <r>
      <rPr>
        <sz val="11"/>
        <color rgb="FF002060"/>
        <rFont val="Arial"/>
        <family val="2"/>
      </rPr>
      <t xml:space="preserve">0, </t>
    </r>
    <r>
      <rPr>
        <sz val="11"/>
        <color rgb="FF002060"/>
        <rFont val="Bell MT"/>
        <family val="1"/>
      </rPr>
      <t>±</t>
    </r>
    <r>
      <rPr>
        <sz val="11"/>
        <color rgb="FF002060"/>
        <rFont val="Arial"/>
        <family val="2"/>
      </rPr>
      <t xml:space="preserve">1, </t>
    </r>
    <r>
      <rPr>
        <sz val="11"/>
        <color rgb="FF002060"/>
        <rFont val="Bell MT"/>
        <family val="1"/>
      </rPr>
      <t>±</t>
    </r>
    <r>
      <rPr>
        <sz val="11"/>
        <color rgb="FF002060"/>
        <rFont val="Arial"/>
        <family val="2"/>
      </rPr>
      <t xml:space="preserve">2, … , </t>
    </r>
    <r>
      <rPr>
        <sz val="11"/>
        <color rgb="FF002060"/>
        <rFont val="Bell MT"/>
        <family val="1"/>
      </rPr>
      <t>±</t>
    </r>
    <r>
      <rPr>
        <sz val="11"/>
        <color rgb="FF002060"/>
        <rFont val="Arial"/>
        <family val="2"/>
      </rPr>
      <t>l</t>
    </r>
  </si>
  <si>
    <r>
      <t>nach einer Reisezeit von</t>
    </r>
    <r>
      <rPr>
        <b/>
        <sz val="11"/>
        <color rgb="FF002060"/>
        <rFont val="Arial"/>
        <family val="2"/>
      </rPr>
      <t xml:space="preserve"> 10 Jahren</t>
    </r>
    <r>
      <rPr>
        <sz val="11"/>
        <color rgb="FF002060"/>
        <rFont val="Arial"/>
        <family val="2"/>
      </rPr>
      <t xml:space="preserve"> um und fliegt mit </t>
    </r>
    <r>
      <rPr>
        <b/>
        <sz val="11"/>
        <color rgb="FF002060"/>
        <rFont val="Arial"/>
        <family val="2"/>
      </rPr>
      <t>gleicher Geschwindigkeit</t>
    </r>
    <r>
      <rPr>
        <sz val="11"/>
        <color rgb="FF002060"/>
        <rFont val="Arial"/>
        <family val="2"/>
      </rPr>
      <t xml:space="preserve"> wieder zurück zur</t>
    </r>
  </si>
  <si>
    <r>
      <t xml:space="preserve">Erde, idealisert, ohne Beschleunigungs-/Verzögerungsphasen. Sein Bruder </t>
    </r>
    <r>
      <rPr>
        <b/>
        <sz val="11"/>
        <color rgb="FF002060"/>
        <rFont val="Arial"/>
        <family val="2"/>
      </rPr>
      <t>Sepp</t>
    </r>
    <r>
      <rPr>
        <sz val="11"/>
        <color rgb="FF002060"/>
        <rFont val="Arial"/>
        <family val="2"/>
      </rPr>
      <t xml:space="preserve"> bleibt auf der Erde.</t>
    </r>
  </si>
  <si>
    <t xml:space="preserve">  Massenzunahme:</t>
  </si>
  <si>
    <t xml:space="preserve">       K         L                M                              N                            O</t>
  </si>
  <si>
    <r>
      <t xml:space="preserve">Beispiel </t>
    </r>
    <r>
      <rPr>
        <sz val="10"/>
        <color rgb="FF002060"/>
        <rFont val="Arial"/>
        <family val="2"/>
      </rPr>
      <t xml:space="preserve">(aus der Utopie): </t>
    </r>
  </si>
  <si>
    <t>t´ =</t>
  </si>
  <si>
    <t>l´ =</t>
  </si>
  <si>
    <r>
      <t>Alle Systeme, die sich gleichförmig gegenüber einem anderen Inertialsystem bewegen, sind ebenfalls Inertialsysteme</t>
    </r>
    <r>
      <rPr>
        <sz val="10"/>
        <color rgb="FF002060"/>
        <rFont val="Arial"/>
        <family val="2"/>
      </rPr>
      <t>.</t>
    </r>
  </si>
  <si>
    <t>Relativ-Geschwindigkeit:</t>
  </si>
  <si>
    <t>Verhältnis Relativgeschwindigkeit zur Lichtgeschwindigkeit:</t>
  </si>
  <si>
    <t>1 / 299792458 Sekunden</t>
  </si>
  <si>
    <r>
      <rPr>
        <sz val="12"/>
        <rFont val="Calibri"/>
        <family val="2"/>
      </rPr>
      <t>β</t>
    </r>
    <r>
      <rPr>
        <sz val="11"/>
        <rFont val="Arial"/>
        <family val="2"/>
      </rPr>
      <t xml:space="preserve"> =</t>
    </r>
  </si>
  <si>
    <r>
      <rPr>
        <sz val="11"/>
        <rFont val="Calibri"/>
        <family val="2"/>
      </rPr>
      <t xml:space="preserve">→   </t>
    </r>
    <r>
      <rPr>
        <sz val="11"/>
        <rFont val="Arial"/>
        <family val="2"/>
      </rPr>
      <t xml:space="preserve"> v = </t>
    </r>
  </si>
  <si>
    <t>Verhältnis v / c :</t>
  </si>
  <si>
    <t>der Erde zurückgebliebener Bruder Sepp:</t>
  </si>
  <si>
    <t>3. Der Andromeda-Nebel (nächstgelegene Galaxie) ist ca. 2,5 Mio Lj von der Erde entfernt.</t>
  </si>
  <si>
    <r>
      <rPr>
        <sz val="10"/>
        <rFont val="Calibri"/>
        <family val="2"/>
      </rPr>
      <t>↓</t>
    </r>
    <r>
      <rPr>
        <sz val="10"/>
        <rFont val="Arial"/>
        <family val="2"/>
      </rPr>
      <t xml:space="preserve"> Formel ist für z-Werte &lt; 0,2 bis 10 % genau.</t>
    </r>
  </si>
  <si>
    <t>Relativgeschwindigkeit in gerader Linie</t>
  </si>
  <si>
    <t xml:space="preserve"> (ohne Tangentitalkomponente)</t>
  </si>
  <si>
    <t>Ursprüngliche (Sender-) Wellenlänge (Laborwert):</t>
  </si>
  <si>
    <t>Gravitationsfeldstärke:</t>
  </si>
  <si>
    <t>g =</t>
  </si>
  <si>
    <t xml:space="preserve">                                                      Gravitationsfeld</t>
  </si>
  <si>
    <r>
      <t xml:space="preserve">Radius des </t>
    </r>
    <r>
      <rPr>
        <b/>
        <sz val="10"/>
        <color theme="1"/>
        <rFont val="Arial"/>
        <family val="2"/>
      </rPr>
      <t>kugelförmigen</t>
    </r>
    <r>
      <rPr>
        <sz val="10"/>
        <color theme="1"/>
        <rFont val="Arial"/>
        <family val="2"/>
      </rPr>
      <t xml:space="preserve"> Objekts:</t>
    </r>
  </si>
  <si>
    <t>Vol. Atom</t>
  </si>
  <si>
    <t xml:space="preserve">G = </t>
  </si>
  <si>
    <t xml:space="preserve">M = </t>
  </si>
  <si>
    <t>Schwarzschild-Radius:</t>
  </si>
  <si>
    <t xml:space="preserve">R = </t>
  </si>
  <si>
    <r>
      <t>F</t>
    </r>
    <r>
      <rPr>
        <vertAlign val="subscript"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 xml:space="preserve"> = </t>
    </r>
  </si>
  <si>
    <t xml:space="preserve"> m/s im Vak.</t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</si>
  <si>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∙kg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>·s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bzw. N·m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·kg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da N = kg·m·s</t>
    </r>
    <r>
      <rPr>
        <vertAlign val="superscript"/>
        <sz val="11"/>
        <color theme="1"/>
        <rFont val="Arial"/>
        <family val="2"/>
      </rPr>
      <t>-2</t>
    </r>
  </si>
  <si>
    <t xml:space="preserve"> kg</t>
  </si>
  <si>
    <t xml:space="preserve"> m</t>
  </si>
  <si>
    <t xml:space="preserve"> N</t>
  </si>
  <si>
    <r>
      <t>v</t>
    </r>
    <r>
      <rPr>
        <vertAlign val="subscript"/>
        <sz val="11"/>
        <color theme="1"/>
        <rFont val="Arial"/>
        <family val="2"/>
      </rPr>
      <t>F</t>
    </r>
    <r>
      <rPr>
        <sz val="11"/>
        <color theme="1"/>
        <rFont val="Arial"/>
        <family val="2"/>
      </rPr>
      <t xml:space="preserve"> = </t>
    </r>
  </si>
  <si>
    <t xml:space="preserve"> km/s</t>
  </si>
  <si>
    <t xml:space="preserve"> nm</t>
  </si>
  <si>
    <r>
      <rPr>
        <sz val="12"/>
        <color theme="1"/>
        <rFont val="Calibri"/>
        <family val="2"/>
      </rPr>
      <t>λ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</si>
  <si>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</t>
    </r>
  </si>
  <si>
    <t xml:space="preserve"> Hz</t>
  </si>
  <si>
    <r>
      <t>R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 </t>
    </r>
  </si>
  <si>
    <t xml:space="preserve"> = </t>
  </si>
  <si>
    <r>
      <t>v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 xml:space="preserve"> = </t>
    </r>
  </si>
  <si>
    <t xml:space="preserve"> h</t>
  </si>
  <si>
    <t>Gewichtskraft im Gravitationsfeld</t>
  </si>
  <si>
    <t>Masse des Prüfers:</t>
  </si>
  <si>
    <r>
      <rPr>
        <sz val="12"/>
        <color theme="1"/>
        <rFont val="Calibri"/>
        <family val="2"/>
      </rPr>
      <t>Δ</t>
    </r>
    <r>
      <rPr>
        <sz val="11"/>
        <color theme="1"/>
        <rFont val="Arial"/>
        <family val="2"/>
      </rPr>
      <t>T</t>
    </r>
    <r>
      <rPr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= </t>
    </r>
  </si>
  <si>
    <t xml:space="preserve">Szenario: </t>
  </si>
  <si>
    <t xml:space="preserve">Lichtablenkung im Gravitationsfeld </t>
  </si>
  <si>
    <r>
      <t xml:space="preserve">Ein Lichtstrahl wird im Gravitationsfeld um den Winkel </t>
    </r>
    <r>
      <rPr>
        <sz val="10"/>
        <color rgb="FF002060"/>
        <rFont val="Calibri"/>
        <family val="2"/>
      </rPr>
      <t>α</t>
    </r>
    <r>
      <rPr>
        <sz val="10"/>
        <color rgb="FF002060"/>
        <rFont val="Arial"/>
        <family val="2"/>
      </rPr>
      <t xml:space="preserve"> abgelenkt.</t>
    </r>
  </si>
  <si>
    <t xml:space="preserve"> %</t>
  </si>
  <si>
    <r>
      <t>F</t>
    </r>
    <r>
      <rPr>
        <vertAlign val="subscript"/>
        <sz val="11"/>
        <color theme="1"/>
        <rFont val="Arial"/>
        <family val="2"/>
      </rPr>
      <t>G%</t>
    </r>
    <r>
      <rPr>
        <sz val="11"/>
        <color theme="1"/>
        <rFont val="Arial"/>
        <family val="2"/>
      </rPr>
      <t xml:space="preserve"> = </t>
    </r>
  </si>
  <si>
    <r>
      <t>v</t>
    </r>
    <r>
      <rPr>
        <vertAlign val="subscript"/>
        <sz val="11"/>
        <color theme="1"/>
        <rFont val="Arial"/>
        <family val="2"/>
      </rPr>
      <t>F%</t>
    </r>
    <r>
      <rPr>
        <sz val="11"/>
        <color theme="1"/>
        <rFont val="Arial"/>
        <family val="2"/>
      </rPr>
      <t xml:space="preserve"> = </t>
    </r>
  </si>
  <si>
    <r>
      <t>v</t>
    </r>
    <r>
      <rPr>
        <vertAlign val="subscript"/>
        <sz val="11"/>
        <color theme="1"/>
        <rFont val="Arial"/>
        <family val="2"/>
      </rPr>
      <t>U%</t>
    </r>
    <r>
      <rPr>
        <sz val="11"/>
        <color theme="1"/>
        <rFont val="Arial"/>
        <family val="2"/>
      </rPr>
      <t xml:space="preserve"> = </t>
    </r>
  </si>
  <si>
    <r>
      <t xml:space="preserve">Dem Lorentzfaktor </t>
    </r>
    <r>
      <rPr>
        <b/>
        <sz val="11"/>
        <color rgb="FF002060"/>
        <rFont val="Calibri"/>
        <family val="2"/>
      </rPr>
      <t>γ</t>
    </r>
    <r>
      <rPr>
        <b/>
        <sz val="11"/>
        <color rgb="FF002060"/>
        <rFont val="Arial"/>
        <family val="2"/>
      </rPr>
      <t xml:space="preserve"> in der SRT vergleichbar erscheint in der ART der </t>
    </r>
  </si>
  <si>
    <t>[h]</t>
  </si>
  <si>
    <t>[nm]</t>
  </si>
  <si>
    <t>α</t>
  </si>
  <si>
    <t>[grad]</t>
  </si>
  <si>
    <t>Wellenlänge</t>
  </si>
  <si>
    <t>Frequenz</t>
  </si>
  <si>
    <t>(Ortszeit)</t>
  </si>
  <si>
    <t>(Ortslänge)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</si>
  <si>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Arial"/>
        <family val="2"/>
      </rPr>
      <t>T</t>
    </r>
    <r>
      <rPr>
        <b/>
        <vertAlign val="subscript"/>
        <sz val="11"/>
        <color theme="1"/>
        <rFont val="Arial"/>
        <family val="2"/>
      </rPr>
      <t>O</t>
    </r>
  </si>
  <si>
    <r>
      <t>L</t>
    </r>
    <r>
      <rPr>
        <b/>
        <vertAlign val="subscript"/>
        <sz val="11"/>
        <color theme="1"/>
        <rFont val="Arial"/>
        <family val="2"/>
      </rPr>
      <t>O</t>
    </r>
  </si>
  <si>
    <r>
      <rPr>
        <b/>
        <sz val="11"/>
        <color theme="1"/>
        <rFont val="Calibri"/>
        <family val="2"/>
      </rPr>
      <t>λ</t>
    </r>
    <r>
      <rPr>
        <b/>
        <sz val="11"/>
        <color theme="1"/>
        <rFont val="Arial"/>
        <family val="2"/>
      </rPr>
      <t>∞</t>
    </r>
  </si>
  <si>
    <r>
      <rPr>
        <b/>
        <sz val="11"/>
        <color theme="1"/>
        <rFont val="Calibri"/>
        <family val="2"/>
      </rPr>
      <t>λ</t>
    </r>
    <r>
      <rPr>
        <b/>
        <vertAlign val="subscript"/>
        <sz val="11"/>
        <color theme="1"/>
        <rFont val="Arial"/>
        <family val="2"/>
      </rPr>
      <t>O</t>
    </r>
  </si>
  <si>
    <t>f∞</t>
  </si>
  <si>
    <r>
      <t>f</t>
    </r>
    <r>
      <rPr>
        <b/>
        <vertAlign val="subscript"/>
        <sz val="11"/>
        <color theme="1"/>
        <rFont val="Arial"/>
        <family val="2"/>
      </rPr>
      <t>O</t>
    </r>
  </si>
  <si>
    <t>[Hz]</t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</si>
  <si>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∙kg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>·s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bzw. N·m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·kg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, </t>
    </r>
  </si>
  <si>
    <t xml:space="preserve">F / G: </t>
  </si>
  <si>
    <t>H</t>
  </si>
  <si>
    <r>
      <rPr>
        <sz val="12"/>
        <color theme="1"/>
        <rFont val="Calibri"/>
        <family val="2"/>
      </rPr>
      <t>λ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 </t>
    </r>
  </si>
  <si>
    <t>des Prüfers</t>
  </si>
  <si>
    <t>[N]</t>
  </si>
  <si>
    <t>I</t>
  </si>
  <si>
    <t>Prüfers</t>
  </si>
  <si>
    <r>
      <t>F</t>
    </r>
    <r>
      <rPr>
        <b/>
        <vertAlign val="subscript"/>
        <sz val="11"/>
        <color theme="1"/>
        <rFont val="Arial"/>
        <family val="2"/>
      </rPr>
      <t>G</t>
    </r>
  </si>
  <si>
    <t>ART</t>
  </si>
  <si>
    <r>
      <rPr>
        <b/>
        <sz val="12"/>
        <color theme="1"/>
        <rFont val="Calibri"/>
        <family val="2"/>
      </rPr>
      <t>γ</t>
    </r>
    <r>
      <rPr>
        <b/>
        <vertAlign val="subscript"/>
        <sz val="12"/>
        <color theme="1"/>
        <rFont val="Arial"/>
        <family val="2"/>
      </rPr>
      <t>G</t>
    </r>
  </si>
  <si>
    <t xml:space="preserve">D: </t>
  </si>
  <si>
    <t xml:space="preserve">E: </t>
  </si>
  <si>
    <t>Formeln zur Allgemeinen Relativitätstheorie</t>
  </si>
  <si>
    <t>Länge des Objektes des Objektes (im gravitationsfreien Raum):</t>
  </si>
  <si>
    <t>Schwarzschild-Radius des Himmelkörpers:</t>
  </si>
  <si>
    <r>
      <t xml:space="preserve">Wellenlänge </t>
    </r>
    <r>
      <rPr>
        <sz val="10"/>
        <color theme="1"/>
        <rFont val="Calibri"/>
        <family val="2"/>
      </rPr>
      <t>λ</t>
    </r>
    <r>
      <rPr>
        <sz val="10"/>
        <color theme="1"/>
        <rFont val="Arial"/>
        <family val="2"/>
      </rPr>
      <t xml:space="preserve"> und Frequenz f sind über die </t>
    </r>
  </si>
  <si>
    <r>
      <rPr>
        <b/>
        <sz val="10"/>
        <rFont val="Calibri"/>
        <family val="2"/>
      </rPr>
      <t>↓</t>
    </r>
    <r>
      <rPr>
        <sz val="10"/>
        <rFont val="Arial"/>
        <family val="2"/>
      </rPr>
      <t xml:space="preserve"> Lichtgeschwindigkeit miteinander verknüpft </t>
    </r>
    <r>
      <rPr>
        <b/>
        <sz val="10"/>
        <rFont val="Calibri"/>
        <family val="2"/>
      </rPr>
      <t>↓</t>
    </r>
  </si>
  <si>
    <t>Abstand Lichtstrahl vom Schwerpunkt:</t>
  </si>
  <si>
    <t>Man kann auch mit der Energie rechnen (Formel umstell.), im atom. Bereich oft praktischer.</t>
  </si>
  <si>
    <t>https://www.youtube.com/watch?v=OgvMCBLIz74</t>
  </si>
  <si>
    <t>https://www.youtube.com/watch?v=bHM-PSA8SMc</t>
  </si>
  <si>
    <t>https://www.youtube.com/watch?v=IlmcuNDOpR4</t>
  </si>
  <si>
    <t>https://www.youtube.com/watch?v=2DOqF4Mt35Y</t>
  </si>
  <si>
    <t>https://www.youtube.com/watch?v=bbjGzpHTKXs</t>
  </si>
  <si>
    <t>https://www.youtube.com/watch?v=-2o8_JvniDM</t>
  </si>
  <si>
    <t>ideal absorbiert u. thermische Strahlung emittiert.</t>
  </si>
  <si>
    <t>u</t>
  </si>
  <si>
    <t xml:space="preserve">stehen für geringste Temperaturdifferenzen (Mikro-Kelvin). Ein dichtes heißes </t>
  </si>
  <si>
    <t>Grafik: Einstein-online.info</t>
  </si>
  <si>
    <t>Alpha-Centauri</t>
  </si>
  <si>
    <t>Radiale Größe</t>
  </si>
  <si>
    <r>
      <t>Sonne M = 1,989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30</t>
    </r>
    <r>
      <rPr>
        <sz val="10"/>
        <color rgb="FF002060"/>
        <rFont val="Arial"/>
        <family val="2"/>
      </rPr>
      <t xml:space="preserve"> kg / Rigel M = 17 M</t>
    </r>
    <r>
      <rPr>
        <vertAlign val="subscript"/>
        <sz val="10"/>
        <color rgb="FF002060"/>
        <rFont val="Arial"/>
        <family val="2"/>
      </rPr>
      <t>Son</t>
    </r>
    <r>
      <rPr>
        <sz val="10"/>
        <color rgb="FF002060"/>
        <rFont val="Arial"/>
        <family val="2"/>
      </rPr>
      <t xml:space="preserve"> = 3,381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31</t>
    </r>
    <r>
      <rPr>
        <sz val="10"/>
        <color rgb="FF002060"/>
        <rFont val="Arial"/>
        <family val="2"/>
      </rPr>
      <t xml:space="preserve"> kg / Erde M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</t>
    </r>
  </si>
  <si>
    <t>Gesamt-Geschwindigkeit aus Perspektive B im "ruhenden" I-Systems S:</t>
  </si>
  <si>
    <t>Gesamt-Geschwindigkeit aus Perspektive B im "ruhenden" I-Systems:</t>
  </si>
  <si>
    <t xml:space="preserve">H / I: </t>
  </si>
  <si>
    <t xml:space="preserve">J: </t>
  </si>
  <si>
    <t>Δp steht für die Impulsunschärfe, Δq für die Ortsunschärfe</t>
  </si>
  <si>
    <t xml:space="preserve">(ist heute Δx) und ħ (gesprochen h quer) steht für h/2·π, </t>
  </si>
  <si>
    <t>Prinzipieller Unterschied Teilchen - Welle</t>
  </si>
  <si>
    <t>Zeit, die für den</t>
  </si>
  <si>
    <t>Prüfer vergeht</t>
  </si>
  <si>
    <t>x´ =</t>
  </si>
  <si>
    <t>y´ =</t>
  </si>
  <si>
    <t>z´ =</t>
  </si>
  <si>
    <t>System S</t>
  </si>
  <si>
    <t>System S´</t>
  </si>
  <si>
    <r>
      <t xml:space="preserve">Zeitspanne, die im Inertial-System </t>
    </r>
    <r>
      <rPr>
        <b/>
        <sz val="11"/>
        <color rgb="FFC00000"/>
        <rFont val="Arial"/>
        <family val="2"/>
      </rPr>
      <t>S</t>
    </r>
    <r>
      <rPr>
        <sz val="11"/>
        <color rgb="FFC00000"/>
        <rFont val="Arial"/>
        <family val="2"/>
      </rPr>
      <t xml:space="preserve"> </t>
    </r>
    <r>
      <rPr>
        <sz val="11"/>
        <rFont val="Arial"/>
        <family val="2"/>
      </rPr>
      <t>bzw.</t>
    </r>
    <r>
      <rPr>
        <b/>
        <sz val="11"/>
        <color rgb="FF0070C0"/>
        <rFont val="Arial"/>
        <family val="2"/>
      </rPr>
      <t xml:space="preserve"> S´</t>
    </r>
    <r>
      <rPr>
        <sz val="11"/>
        <color theme="1"/>
        <rFont val="Arial"/>
        <family val="2"/>
      </rPr>
      <t xml:space="preserve"> vergeht:</t>
    </r>
  </si>
  <si>
    <r>
      <t xml:space="preserve">Koordinaten des Ereignisses im Inertial-System </t>
    </r>
    <r>
      <rPr>
        <b/>
        <sz val="11"/>
        <color rgb="FFC00000"/>
        <rFont val="Arial"/>
        <family val="2"/>
      </rPr>
      <t>S</t>
    </r>
    <r>
      <rPr>
        <sz val="11"/>
        <color theme="1"/>
        <rFont val="Arial"/>
        <family val="2"/>
      </rPr>
      <t xml:space="preserve"> bzw. </t>
    </r>
    <r>
      <rPr>
        <b/>
        <sz val="11"/>
        <color rgb="FF0070C0"/>
        <rFont val="Arial"/>
        <family val="2"/>
      </rPr>
      <t>S´</t>
    </r>
    <r>
      <rPr>
        <sz val="11"/>
        <color theme="1"/>
        <rFont val="Arial"/>
        <family val="2"/>
      </rPr>
      <t>:</t>
    </r>
  </si>
  <si>
    <r>
      <t xml:space="preserve">Findet nun ein Ereignis in </t>
    </r>
    <r>
      <rPr>
        <b/>
        <sz val="12"/>
        <color rgb="FFC00000"/>
        <rFont val="Arial"/>
        <family val="2"/>
      </rPr>
      <t>S</t>
    </r>
    <r>
      <rPr>
        <sz val="10"/>
        <rFont val="Arial"/>
        <family val="2"/>
      </rPr>
      <t xml:space="preserve"> am Ort </t>
    </r>
    <r>
      <rPr>
        <b/>
        <sz val="12"/>
        <color rgb="FFC00000"/>
        <rFont val="Arial"/>
        <family val="2"/>
      </rPr>
      <t>x, y, z</t>
    </r>
    <r>
      <rPr>
        <sz val="10"/>
        <rFont val="Arial"/>
        <family val="2"/>
      </rPr>
      <t xml:space="preserve"> zum Zeitpunkt </t>
    </r>
    <r>
      <rPr>
        <b/>
        <sz val="12"/>
        <color rgb="FFC00000"/>
        <rFont val="Arial"/>
        <family val="2"/>
      </rPr>
      <t>t</t>
    </r>
    <r>
      <rPr>
        <sz val="10"/>
        <rFont val="Arial"/>
        <family val="2"/>
      </rPr>
      <t xml:space="preserve"> statt,</t>
    </r>
  </si>
  <si>
    <r>
      <t>dann ergibt eine Orts- und Zeitbestimmung in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S'</t>
    </r>
    <r>
      <rPr>
        <sz val="10"/>
        <color theme="1"/>
        <rFont val="Arial"/>
        <family val="2"/>
      </rPr>
      <t xml:space="preserve"> für dasselbe Ereignis</t>
    </r>
  </si>
  <si>
    <r>
      <t>die Koordinaten</t>
    </r>
    <r>
      <rPr>
        <b/>
        <sz val="10"/>
        <color rgb="FF0070C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x', y', z', t'</t>
    </r>
    <r>
      <rPr>
        <sz val="10"/>
        <color theme="1"/>
        <rFont val="Arial"/>
        <family val="2"/>
      </rPr>
      <t>.</t>
    </r>
  </si>
  <si>
    <r>
      <t xml:space="preserve">Die Grafik zeigt die Systeme </t>
    </r>
    <r>
      <rPr>
        <b/>
        <sz val="12"/>
        <color rgb="FFC00000"/>
        <rFont val="Arial"/>
        <family val="2"/>
      </rPr>
      <t xml:space="preserve">S </t>
    </r>
    <r>
      <rPr>
        <sz val="10"/>
        <color theme="1"/>
        <rFont val="Arial"/>
        <family val="2"/>
      </rPr>
      <t xml:space="preserve">und </t>
    </r>
    <r>
      <rPr>
        <b/>
        <sz val="12"/>
        <color rgb="FF0070C0"/>
        <rFont val="Arial"/>
        <family val="2"/>
      </rPr>
      <t>S'</t>
    </r>
    <r>
      <rPr>
        <sz val="10"/>
        <color theme="1"/>
        <rFont val="Arial"/>
        <family val="2"/>
      </rPr>
      <t xml:space="preserve"> mit der Relativgeschwindigkeit </t>
    </r>
    <r>
      <rPr>
        <b/>
        <sz val="12"/>
        <color rgb="FF002060"/>
        <rFont val="Arial"/>
        <family val="2"/>
      </rPr>
      <t>v</t>
    </r>
    <r>
      <rPr>
        <sz val="10"/>
        <color rgb="FF002060"/>
        <rFont val="Arial"/>
        <family val="2"/>
      </rPr>
      <t>,</t>
    </r>
  </si>
  <si>
    <t>Masse Objekt wird vernachlässigt, da m &lt;&lt;  M!</t>
  </si>
  <si>
    <t xml:space="preserve">Zwei weitere Effekte aus der Allgemeinen Relativitätstheorie, die das Ergebnis beeinflussen, wurden herausgerechnet: </t>
  </si>
  <si>
    <t>In der Technik wird</t>
  </si>
  <si>
    <t>Lorentz-</t>
  </si>
  <si>
    <r>
      <rPr>
        <sz val="12"/>
        <color theme="1"/>
        <rFont val="Calibri"/>
        <family val="2"/>
      </rPr>
      <t>β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  </t>
    </r>
  </si>
  <si>
    <r>
      <t>Distanz h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 die Zeit:</t>
    </r>
  </si>
  <si>
    <r>
      <t>Distanz h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´ die Zeit</t>
    </r>
  </si>
  <si>
    <r>
      <t>Distanz h</t>
    </r>
    <r>
      <rPr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' bis</t>
    </r>
  </si>
  <si>
    <t>Aus Sicht der Erde</t>
  </si>
  <si>
    <t>gehen die Uhren</t>
  </si>
  <si>
    <t>der Myonen um</t>
  </si>
  <si>
    <t>Erde aus gesehen</t>
  </si>
  <si>
    <t>Myon aus gesehen</t>
  </si>
  <si>
    <t>Zeitdehnung:</t>
  </si>
  <si>
    <t>Δ t nach.</t>
  </si>
  <si>
    <t>der Myonen</t>
  </si>
  <si>
    <t xml:space="preserve"> Δ t [%] nach.</t>
  </si>
  <si>
    <t>Raum-</t>
  </si>
  <si>
    <t>fahrer</t>
  </si>
  <si>
    <t>(Raumzeitintervall)</t>
  </si>
  <si>
    <t>der "ruhenden" Uhr</t>
  </si>
  <si>
    <t>im Vergleich mit</t>
  </si>
  <si>
    <t>Zurückgelegte</t>
  </si>
  <si>
    <t>HWZ der Myonen:</t>
  </si>
  <si>
    <t>Geschwindigkeit d. Myonen:</t>
  </si>
  <si>
    <t>Ergebnis:</t>
  </si>
  <si>
    <r>
      <rPr>
        <b/>
        <sz val="11"/>
        <color rgb="FF002060"/>
        <rFont val="Arial"/>
        <family val="2"/>
      </rPr>
      <t>Frage:</t>
    </r>
    <r>
      <rPr>
        <sz val="11"/>
        <color rgb="FF002060"/>
        <rFont val="Arial"/>
        <family val="2"/>
      </rPr>
      <t xml:space="preserve"> Wieso sind Myonen dennnoch nachweisbar und zwar ca. 100 pro m² und s auf Meereshöhe? </t>
    </r>
  </si>
  <si>
    <t>Zwischen-</t>
  </si>
  <si>
    <t>Werte</t>
  </si>
  <si>
    <t>Weg d. Myonen nach 1 HWZ:</t>
  </si>
  <si>
    <t>Weg d. Myonen nach n HWZ: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</si>
  <si>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bzw. N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>, da N = kg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</si>
  <si>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r>
      <t>Elektron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0,91094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-31</t>
    </r>
    <r>
      <rPr>
        <sz val="10"/>
        <color rgb="FF002060"/>
        <rFont val="Arial"/>
        <family val="2"/>
      </rPr>
      <t xml:space="preserve"> kg im H-Atom, v = 2188 km/s (1. Bahn) </t>
    </r>
    <r>
      <rPr>
        <sz val="10"/>
        <color rgb="FF002060"/>
        <rFont val="Calibri"/>
        <family val="2"/>
      </rPr>
      <t xml:space="preserve">→ </t>
    </r>
    <r>
      <rPr>
        <sz val="10"/>
        <color rgb="FF002060"/>
        <rFont val="Arial"/>
        <family val="2"/>
      </rPr>
      <t>geringer Effekt.</t>
    </r>
  </si>
  <si>
    <r>
      <t xml:space="preserve">(Im Vakuum ist </t>
    </r>
    <r>
      <rPr>
        <sz val="12"/>
        <color theme="1"/>
        <rFont val="Calibri"/>
        <family val="2"/>
      </rPr>
      <t>ε</t>
    </r>
    <r>
      <rPr>
        <sz val="11"/>
        <color theme="1"/>
        <rFont val="Arial"/>
        <family val="2"/>
      </rPr>
      <t xml:space="preserve"> = 1)</t>
    </r>
  </si>
  <si>
    <t>Schwarzen</t>
  </si>
  <si>
    <t>Gedanken-</t>
  </si>
  <si>
    <t>Experiment:</t>
  </si>
  <si>
    <t>Gravitationsgesetz</t>
  </si>
  <si>
    <t>In Worten:</t>
  </si>
  <si>
    <t>d</t>
  </si>
  <si>
    <t>Bahnradius:</t>
  </si>
  <si>
    <r>
      <t>Erde m = 5,972 · 10</t>
    </r>
    <r>
      <rPr>
        <b/>
        <vertAlign val="superscript"/>
        <sz val="10"/>
        <color rgb="FF002060"/>
        <rFont val="Arial"/>
        <family val="2"/>
      </rPr>
      <t>24</t>
    </r>
    <r>
      <rPr>
        <b/>
        <sz val="10"/>
        <color rgb="FF002060"/>
        <rFont val="Arial"/>
        <family val="2"/>
      </rPr>
      <t xml:space="preserve"> kg:</t>
    </r>
  </si>
  <si>
    <t>Berechnung der Zentripetalkraft:</t>
  </si>
  <si>
    <t xml:space="preserve">Ersetzt man nun den letzten Bruch der Gleichung durch </t>
  </si>
  <si>
    <t>die Formel des 3. Keplerschen Gesetzes, so erhält man:</t>
  </si>
  <si>
    <t>Die Stärke der Gravitation</t>
  </si>
  <si>
    <t xml:space="preserve">ist proporitional zu </t>
  </si>
  <si>
    <t>1 / R².</t>
  </si>
  <si>
    <t>Zeit für einen Umlauf</t>
  </si>
  <si>
    <t>Bahnradius</t>
  </si>
  <si>
    <r>
      <t xml:space="preserve">Berechnung der </t>
    </r>
    <r>
      <rPr>
        <sz val="11"/>
        <color rgb="FF0070C0"/>
        <rFont val="Arial"/>
        <family val="2"/>
      </rPr>
      <t xml:space="preserve">Bahngeschwindigkeit v </t>
    </r>
    <r>
      <rPr>
        <sz val="11"/>
        <rFont val="Arial"/>
        <family val="2"/>
      </rPr>
      <t xml:space="preserve"> des Umlauf-Körpers:</t>
    </r>
  </si>
  <si>
    <t>Berechnung der Zentripetal-Beschleunigung:</t>
  </si>
  <si>
    <t xml:space="preserve">C = </t>
  </si>
  <si>
    <t>dabei ist</t>
  </si>
  <si>
    <t>die Gravitationskonstante!</t>
  </si>
  <si>
    <t>Umlaufzeit Trabant:</t>
  </si>
  <si>
    <t xml:space="preserve">T = </t>
  </si>
  <si>
    <t>Bezeichnung Zentralkörper / Trabant:</t>
  </si>
  <si>
    <t>Masse Zentralkörper:</t>
  </si>
  <si>
    <t>Konstante aus dem 3.Kepplerschen Gesetz:</t>
  </si>
  <si>
    <r>
      <t>G</t>
    </r>
    <r>
      <rPr>
        <vertAlign val="subscript"/>
        <sz val="11"/>
        <color theme="1"/>
        <rFont val="Arial"/>
        <family val="2"/>
      </rPr>
      <t>Mess</t>
    </r>
    <r>
      <rPr>
        <sz val="11"/>
        <color theme="1"/>
        <rFont val="Arial"/>
        <family val="2"/>
      </rPr>
      <t xml:space="preserve"> = </t>
    </r>
  </si>
  <si>
    <r>
      <rPr>
        <sz val="11"/>
        <color theme="1"/>
        <rFont val="Calibri"/>
        <family val="2"/>
      </rPr>
      <t>Δ</t>
    </r>
    <r>
      <rPr>
        <sz val="11"/>
        <color theme="1"/>
        <rFont val="Arial"/>
        <family val="2"/>
      </rPr>
      <t xml:space="preserve"> = </t>
    </r>
  </si>
  <si>
    <t>Die für die Kreisbewegung des Tabanten nötige Zentripedalkraft wird von</t>
  </si>
  <si>
    <t>der Gravitationskraft geliefert.</t>
  </si>
  <si>
    <t>Zeit für einen Umlauf des Trabanten:</t>
  </si>
  <si>
    <t>ergit die Formel zur Berechnung der Gravitaktonskonsten G.</t>
  </si>
  <si>
    <t>ergibt die Formel zur Berechnung der Gravitationskraft FG.</t>
  </si>
  <si>
    <t>Bahnradius des Trabanten:</t>
  </si>
  <si>
    <r>
      <rPr>
        <b/>
        <sz val="11"/>
        <color rgb="FF002060"/>
        <rFont val="Arial"/>
        <family val="2"/>
      </rPr>
      <t xml:space="preserve">1.  </t>
    </r>
    <r>
      <rPr>
        <sz val="11"/>
        <color rgb="FF002060"/>
        <rFont val="Arial"/>
        <family val="2"/>
      </rPr>
      <t xml:space="preserve">Die Planetenbahnen sind </t>
    </r>
    <r>
      <rPr>
        <b/>
        <sz val="11"/>
        <color rgb="FF002060"/>
        <rFont val="Arial"/>
        <family val="2"/>
      </rPr>
      <t>Ellipsen</t>
    </r>
    <r>
      <rPr>
        <sz val="11"/>
        <color rgb="FF002060"/>
        <rFont val="Arial"/>
        <family val="2"/>
      </rPr>
      <t>, in deren einem Brennpunkt die Sonne steht.</t>
    </r>
  </si>
  <si>
    <r>
      <rPr>
        <b/>
        <sz val="11"/>
        <color rgb="FF002060"/>
        <rFont val="Arial"/>
        <family val="2"/>
      </rPr>
      <t>2.</t>
    </r>
    <r>
      <rPr>
        <sz val="11"/>
        <color rgb="FF002060"/>
        <rFont val="Arial"/>
        <family val="2"/>
      </rPr>
      <t xml:space="preserve">  Der Ortsvektor von der Sonne zum Planet überstreicht in </t>
    </r>
    <r>
      <rPr>
        <b/>
        <sz val="11"/>
        <color rgb="FF002060"/>
        <rFont val="Arial"/>
        <family val="2"/>
      </rPr>
      <t>gleichen Zeiten gleiche Flächen</t>
    </r>
    <r>
      <rPr>
        <sz val="11"/>
        <color rgb="FF002060"/>
        <rFont val="Arial"/>
        <family val="2"/>
      </rPr>
      <t>.</t>
    </r>
  </si>
  <si>
    <r>
      <rPr>
        <b/>
        <sz val="11"/>
        <color rgb="FF002060"/>
        <rFont val="Arial"/>
        <family val="2"/>
      </rPr>
      <t>3.</t>
    </r>
    <r>
      <rPr>
        <sz val="11"/>
        <color rgb="FF002060"/>
        <rFont val="Arial"/>
        <family val="2"/>
      </rPr>
      <t xml:space="preserve">  Die </t>
    </r>
    <r>
      <rPr>
        <b/>
        <sz val="11"/>
        <color rgb="FF002060"/>
        <rFont val="Arial"/>
        <family val="2"/>
      </rPr>
      <t>Quardrate der Umlaufzeiten</t>
    </r>
    <r>
      <rPr>
        <sz val="11"/>
        <color rgb="FF002060"/>
        <rFont val="Arial"/>
        <family val="2"/>
      </rPr>
      <t xml:space="preserve"> sind zu den </t>
    </r>
    <r>
      <rPr>
        <b/>
        <sz val="11"/>
        <color rgb="FF002060"/>
        <rFont val="Arial"/>
        <family val="2"/>
      </rPr>
      <t>Kuben der großen Halbachse proportional</t>
    </r>
    <r>
      <rPr>
        <sz val="11"/>
        <color rgb="FF002060"/>
        <rFont val="Arial"/>
        <family val="2"/>
      </rPr>
      <t>.</t>
    </r>
  </si>
  <si>
    <t>Zeit für einen Umlauf:</t>
  </si>
  <si>
    <t xml:space="preserve">Berechnung </t>
  </si>
  <si>
    <t>Der Index 1 bezeichnet einen beliebigen Planeten (z. B. Venus) und der Index 2 einen beliebigen anderen Planeten (z. B. die Erde).</t>
  </si>
  <si>
    <t>Ausführungen basieren auf: Physik-Grundkurs 11-1 der Hildegardis-Schule Hagen</t>
  </si>
  <si>
    <r>
      <t xml:space="preserve">Das </t>
    </r>
    <r>
      <rPr>
        <b/>
        <sz val="11"/>
        <rFont val="Arial"/>
        <family val="2"/>
      </rPr>
      <t>3. Keplersche Gesetz</t>
    </r>
    <r>
      <rPr>
        <sz val="11"/>
        <rFont val="Arial"/>
        <family val="2"/>
      </rPr>
      <t xml:space="preserve"> war bereits 1619 bekannt:</t>
    </r>
  </si>
  <si>
    <t>Bahnradius, Umlaufdauer, Masse und Umlaufgeschwindigkeit eines Trabanten</t>
  </si>
  <si>
    <t>1666 kommt Newton ins Spiel!</t>
  </si>
  <si>
    <r>
      <t xml:space="preserve">Frequenz (f = c / </t>
    </r>
    <r>
      <rPr>
        <sz val="11"/>
        <color theme="1"/>
        <rFont val="Calibri"/>
        <family val="2"/>
      </rPr>
      <t>λ)</t>
    </r>
    <r>
      <rPr>
        <sz val="11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</si>
  <si>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Jeder</t>
    </r>
    <r>
      <rPr>
        <sz val="10"/>
        <color theme="1"/>
        <rFont val="Arial"/>
        <family val="2"/>
      </rPr>
      <t xml:space="preserve"> Körper, dessen Temperatur über dem absoluten Nullpunkt liegt (&gt; 0 K bzw. </t>
    </r>
  </si>
  <si>
    <r>
      <t xml:space="preserve">Anzahl HWZ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</t>
    </r>
    <r>
      <rPr>
        <sz val="11"/>
        <rFont val="Arial"/>
        <family val="2"/>
      </rPr>
      <t>Eing.</t>
    </r>
    <r>
      <rPr>
        <sz val="11"/>
        <color rgb="FFFF0000"/>
        <rFont val="Arial"/>
        <family val="2"/>
      </rPr>
      <t xml:space="preserve"> </t>
    </r>
    <r>
      <rPr>
        <sz val="11"/>
        <color rgb="FFC00000"/>
        <rFont val="Arial"/>
        <family val="2"/>
      </rPr>
      <t>iterativ</t>
    </r>
    <r>
      <rPr>
        <sz val="11"/>
        <color theme="1"/>
        <rFont val="Arial"/>
        <family val="2"/>
      </rPr>
      <t>:</t>
    </r>
  </si>
  <si>
    <t>Beide empfangen die Signale jeweils mit der</t>
  </si>
  <si>
    <t xml:space="preserve"> korrekten Dopplerverschiebung:</t>
  </si>
  <si>
    <t>https://www.youtube.com/watch?v=GeKiAZ4JQ8k</t>
  </si>
  <si>
    <t>Erweiterung der Gleichung mit Masse M für den Zentralkörper</t>
  </si>
  <si>
    <r>
      <t>v</t>
    </r>
    <r>
      <rPr>
        <vertAlign val="subscript"/>
        <sz val="11"/>
        <rFont val="Arial"/>
        <family val="2"/>
      </rPr>
      <t>U</t>
    </r>
    <r>
      <rPr>
        <sz val="11"/>
        <rFont val="Arial"/>
        <family val="2"/>
      </rPr>
      <t xml:space="preserve"> = </t>
    </r>
  </si>
  <si>
    <t>Newton nahm an:</t>
  </si>
  <si>
    <t>der Kreisbewegung (wie o. a. vereinfachende Annahme):</t>
  </si>
  <si>
    <r>
      <t xml:space="preserve">2. Newtonsches Gesetz: </t>
    </r>
    <r>
      <rPr>
        <sz val="11"/>
        <color rgb="FFC00000"/>
        <rFont val="Arial"/>
        <family val="2"/>
      </rPr>
      <t>Kraft ist gleich Masse mal Beschleunigung!</t>
    </r>
  </si>
  <si>
    <r>
      <t>m</t>
    </r>
    <r>
      <rPr>
        <vertAlign val="subscript"/>
        <sz val="10"/>
        <color theme="1"/>
        <rFont val="Arial"/>
        <family val="2"/>
      </rPr>
      <t>rel</t>
    </r>
    <r>
      <rPr>
        <sz val="10"/>
        <color theme="1"/>
        <rFont val="Arial"/>
        <family val="2"/>
      </rPr>
      <t xml:space="preserve"> =</t>
    </r>
  </si>
  <si>
    <r>
      <t>m</t>
    </r>
    <r>
      <rPr>
        <vertAlign val="subscript"/>
        <sz val="10"/>
        <color theme="1"/>
        <rFont val="Arial"/>
        <family val="2"/>
      </rPr>
      <t>rel</t>
    </r>
    <r>
      <rPr>
        <sz val="10"/>
        <color theme="1"/>
        <rFont val="Arial"/>
        <family val="2"/>
      </rPr>
      <t>/m</t>
    </r>
    <r>
      <rPr>
        <vertAlign val="sub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 xml:space="preserve"> =</t>
    </r>
  </si>
  <si>
    <t>Szenario:</t>
  </si>
  <si>
    <r>
      <t xml:space="preserve">wobei sich </t>
    </r>
    <r>
      <rPr>
        <b/>
        <sz val="12"/>
        <color rgb="FF0070C0"/>
        <rFont val="Arial"/>
        <family val="2"/>
      </rPr>
      <t>S'</t>
    </r>
    <r>
      <rPr>
        <sz val="10"/>
        <color theme="1"/>
        <rFont val="Arial"/>
        <family val="2"/>
      </rPr>
      <t xml:space="preserve"> mit der Geschwindigkeit</t>
    </r>
    <r>
      <rPr>
        <b/>
        <sz val="10"/>
        <color rgb="FF002060"/>
        <rFont val="Arial"/>
        <family val="2"/>
      </rPr>
      <t xml:space="preserve"> </t>
    </r>
    <r>
      <rPr>
        <b/>
        <sz val="12"/>
        <color rgb="FF002060"/>
        <rFont val="Arial"/>
        <family val="2"/>
      </rPr>
      <t>v</t>
    </r>
    <r>
      <rPr>
        <sz val="10"/>
        <color theme="1"/>
        <rFont val="Arial"/>
        <family val="2"/>
      </rPr>
      <t xml:space="preserve"> aus dem </t>
    </r>
    <r>
      <rPr>
        <b/>
        <sz val="10"/>
        <color theme="1"/>
        <rFont val="Arial"/>
        <family val="2"/>
      </rPr>
      <t>gemeinsamen  Anfang</t>
    </r>
  </si>
  <si>
    <r>
      <t xml:space="preserve"> </t>
    </r>
    <r>
      <rPr>
        <b/>
        <sz val="10"/>
        <color theme="1"/>
        <rFont val="Arial"/>
        <family val="2"/>
      </rPr>
      <t>beider Koordinaten-Systeme</t>
    </r>
    <r>
      <rPr>
        <sz val="10"/>
        <color theme="1"/>
        <rFont val="Arial"/>
        <family val="2"/>
      </rPr>
      <t xml:space="preserve"> in Richtung der positiven x-Achse bewegt.</t>
    </r>
  </si>
  <si>
    <t xml:space="preserve">←  </t>
  </si>
  <si>
    <t>Gedankenexperiment zur Gleichzeitigkeit</t>
  </si>
  <si>
    <t>→|←</t>
  </si>
  <si>
    <t>Ergebnis Galilei-Transformation</t>
  </si>
  <si>
    <r>
      <rPr>
        <b/>
        <sz val="11"/>
        <color rgb="FFC00000"/>
        <rFont val="Calibri"/>
        <family val="2"/>
      </rPr>
      <t xml:space="preserve">→ </t>
    </r>
    <r>
      <rPr>
        <b/>
        <sz val="11"/>
        <color rgb="FFC00000"/>
        <rFont val="Arial"/>
        <family val="2"/>
      </rPr>
      <t>nur v &lt;&lt; c hinreichend genau!</t>
    </r>
  </si>
  <si>
    <t>Das gilt natürlich auch umgekehrt!</t>
  </si>
  <si>
    <t>Zeitspanne, die im "gravitationsfreien" Weltraum vergeht:</t>
  </si>
  <si>
    <t>Geschwindigkeitsungenauigkeit:</t>
  </si>
  <si>
    <t>Raketenlicht</t>
  </si>
  <si>
    <r>
      <t xml:space="preserve">Zwillingsparadoxon </t>
    </r>
    <r>
      <rPr>
        <sz val="10"/>
        <color rgb="FFC00000"/>
        <rFont val="Arial"/>
        <family val="2"/>
      </rPr>
      <t>(Beitrag basiert auf leifiphysik.de)</t>
    </r>
  </si>
  <si>
    <t xml:space="preserve">Auszug aus dem u. a. Spiegel-Text: </t>
  </si>
  <si>
    <t xml:space="preserve">                      Pressekonferenz des russischen Internet-Milliadärs Jurij Milner (Initiator des </t>
  </si>
  <si>
    <r>
      <t xml:space="preserve"> </t>
    </r>
    <r>
      <rPr>
        <b/>
        <sz val="11"/>
        <color rgb="FF002060"/>
        <rFont val="Arial"/>
        <family val="2"/>
      </rPr>
      <t>Beispiel</t>
    </r>
    <r>
      <rPr>
        <sz val="11"/>
        <color rgb="FF002060"/>
        <rFont val="Arial"/>
        <family val="2"/>
      </rPr>
      <t xml:space="preserve">: </t>
    </r>
  </si>
  <si>
    <r>
      <t xml:space="preserve"> "Ritt auf der Lichtwelle" 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 Ziel: </t>
    </r>
    <r>
      <rPr>
        <sz val="11"/>
        <color rgb="FF002060"/>
        <rFont val="Calibri"/>
        <family val="2"/>
      </rPr>
      <t>α</t>
    </r>
    <r>
      <rPr>
        <sz val="11"/>
        <color rgb="FF002060"/>
        <rFont val="Arial"/>
        <family val="2"/>
      </rPr>
      <t xml:space="preserve"> - Centauri / Reisezeit:</t>
    </r>
  </si>
  <si>
    <t xml:space="preserve">  ca. 20 Jahre / v = 20 % c / Beschleunig.-Zeit ca. 20 min., </t>
  </si>
  <si>
    <t xml:space="preserve"> siehe DER SPIEGEL Ausgabe 16 / 2016 auf Seite 5 v. 5.</t>
  </si>
  <si>
    <r>
      <t>Distanz für die Beschleunigungs-/Bremsphase</t>
    </r>
    <r>
      <rPr>
        <b/>
        <sz val="11"/>
        <color rgb="FF002060"/>
        <rFont val="Arial"/>
        <family val="2"/>
      </rPr>
      <t>*</t>
    </r>
    <r>
      <rPr>
        <sz val="11"/>
        <color theme="1"/>
        <rFont val="Arial"/>
        <family val="2"/>
      </rPr>
      <t>:</t>
    </r>
  </si>
  <si>
    <r>
      <t xml:space="preserve"> km    </t>
    </r>
    <r>
      <rPr>
        <b/>
        <sz val="11"/>
        <color rgb="FFC00000"/>
        <rFont val="Calibri"/>
        <family val="2"/>
      </rPr>
      <t>→</t>
    </r>
  </si>
  <si>
    <t>Ursprungs-Radius des Himmelskörpers:</t>
  </si>
  <si>
    <t xml:space="preserve"> km </t>
  </si>
  <si>
    <r>
      <t>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 xml:space="preserve"> =  </t>
    </r>
  </si>
  <si>
    <r>
      <t>Gravitationskraft in % bezogen auf den Ursprungs-Radius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</si>
  <si>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t>Zentral-Masse des Himmelkörpers:</t>
  </si>
  <si>
    <t>Zeitspanne, die im gravitationsfreien Weltraum vergeht:</t>
  </si>
  <si>
    <r>
      <rPr>
        <sz val="12"/>
        <color theme="1"/>
        <rFont val="Calibri"/>
        <family val="2"/>
      </rPr>
      <t>Δ</t>
    </r>
    <r>
      <rPr>
        <sz val="11"/>
        <color theme="1"/>
        <rFont val="Arial"/>
        <family val="2"/>
      </rPr>
      <t>T</t>
    </r>
    <r>
      <rPr>
        <vertAlign val="subscript"/>
        <sz val="14"/>
        <color theme="1"/>
        <rFont val="Arial"/>
        <family val="2"/>
      </rPr>
      <t>∞</t>
    </r>
    <r>
      <rPr>
        <sz val="12"/>
        <color theme="1"/>
        <rFont val="Arial"/>
        <family val="2"/>
      </rPr>
      <t xml:space="preserve"> =</t>
    </r>
  </si>
  <si>
    <r>
      <t>L</t>
    </r>
    <r>
      <rPr>
        <vertAlign val="subscript"/>
        <sz val="14"/>
        <color theme="1"/>
        <rFont val="Arial"/>
        <family val="2"/>
      </rPr>
      <t>∞</t>
    </r>
    <r>
      <rPr>
        <sz val="11"/>
        <color theme="1"/>
        <rFont val="Arial"/>
        <family val="2"/>
      </rPr>
      <t xml:space="preserve"> = </t>
    </r>
  </si>
  <si>
    <r>
      <t>Die Länge eines Objektes im gravitatiosfreien Weltraum</t>
    </r>
    <r>
      <rPr>
        <b/>
        <sz val="10"/>
        <color rgb="FF002060"/>
        <rFont val="Arial"/>
        <family val="2"/>
      </rPr>
      <t xml:space="preserve"> (L</t>
    </r>
    <r>
      <rPr>
        <b/>
        <vertAlign val="subscript"/>
        <sz val="14"/>
        <color rgb="FF002060"/>
        <rFont val="Arial"/>
        <family val="2"/>
      </rPr>
      <t>∞</t>
    </r>
    <r>
      <rPr>
        <b/>
        <sz val="10"/>
        <color rgb="FF002060"/>
        <rFont val="Arial"/>
        <family val="2"/>
      </rPr>
      <t>)</t>
    </r>
    <r>
      <rPr>
        <sz val="10"/>
        <color rgb="FF002060"/>
        <rFont val="Arial"/>
        <family val="2"/>
      </rPr>
      <t xml:space="preserve"> verkürzt sich am Radius R </t>
    </r>
  </si>
  <si>
    <r>
      <t>um den Faktor 1/γ</t>
    </r>
    <r>
      <rPr>
        <vertAlign val="subscript"/>
        <sz val="10"/>
        <color rgb="FF002060"/>
        <rFont val="Arial"/>
        <family val="2"/>
      </rPr>
      <t>G</t>
    </r>
    <r>
      <rPr>
        <sz val="10"/>
        <color rgb="FF002060"/>
        <rFont val="Arial"/>
        <family val="2"/>
      </rPr>
      <t xml:space="preserve"> auf die Ortslänge </t>
    </r>
    <r>
      <rPr>
        <b/>
        <sz val="10"/>
        <color rgb="FF002060"/>
        <rFont val="Arial"/>
        <family val="2"/>
      </rPr>
      <t>(L</t>
    </r>
    <r>
      <rPr>
        <b/>
        <vertAlign val="subscript"/>
        <sz val="10"/>
        <color rgb="FF002060"/>
        <rFont val="Arial"/>
        <family val="2"/>
      </rPr>
      <t>0</t>
    </r>
    <r>
      <rPr>
        <b/>
        <sz val="10"/>
        <color rgb="FF002060"/>
        <rFont val="Arial"/>
        <family val="2"/>
      </rPr>
      <t>)</t>
    </r>
    <r>
      <rPr>
        <sz val="10"/>
        <color rgb="FF002060"/>
        <rFont val="Arial"/>
        <family val="2"/>
      </rPr>
      <t xml:space="preserve"> in radialer Richtung.</t>
    </r>
  </si>
  <si>
    <r>
      <rPr>
        <sz val="12"/>
        <color theme="1"/>
        <rFont val="Arial"/>
        <family val="2"/>
      </rPr>
      <t>λ</t>
    </r>
    <r>
      <rPr>
        <vertAlign val="subscript"/>
        <sz val="14"/>
        <color theme="1"/>
        <rFont val="Arial"/>
        <family val="2"/>
      </rPr>
      <t>∞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</si>
  <si>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4"/>
        <color theme="1"/>
        <rFont val="Arial"/>
        <family val="2"/>
      </rPr>
      <t>∞</t>
    </r>
    <r>
      <rPr>
        <sz val="11"/>
        <color theme="1"/>
        <rFont val="Arial"/>
        <family val="2"/>
      </rPr>
      <t xml:space="preserve"> = </t>
    </r>
  </si>
  <si>
    <t>Variierter Radius des Himmelkörpers:</t>
  </si>
  <si>
    <r>
      <t>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= </t>
    </r>
  </si>
  <si>
    <t>des Beobachters,</t>
  </si>
  <si>
    <t>nach um</t>
  </si>
  <si>
    <t>nach der Zeit</t>
  </si>
  <si>
    <t>Man kann nicht genauer messen, d. h. einen Ort nicht genauer festlegen!</t>
  </si>
  <si>
    <r>
      <t xml:space="preserve">Gesamt-Energie für den </t>
    </r>
    <r>
      <rPr>
        <b/>
        <sz val="11"/>
        <color rgb="FF002060"/>
        <rFont val="Arial"/>
        <family val="2"/>
      </rPr>
      <t>Grundzustand n = 1</t>
    </r>
    <r>
      <rPr>
        <sz val="11"/>
        <color rgb="FF002060"/>
        <rFont val="Arial"/>
        <family val="2"/>
      </rPr>
      <t xml:space="preserve"> des Wasserstoff-Atoms</t>
    </r>
  </si>
  <si>
    <r>
      <t xml:space="preserve">(griech. mesos "Mitte"). Mesonen sind </t>
    </r>
    <r>
      <rPr>
        <b/>
        <sz val="11"/>
        <color theme="1"/>
        <rFont val="Arial"/>
        <family val="2"/>
      </rPr>
      <t>instabil</t>
    </r>
    <r>
      <rPr>
        <sz val="11"/>
        <color theme="1"/>
        <rFont val="Arial"/>
        <family val="2"/>
      </rPr>
      <t xml:space="preserve"> und bestehen aus </t>
    </r>
    <r>
      <rPr>
        <u/>
        <sz val="11"/>
        <color theme="1"/>
        <rFont val="Arial"/>
        <family val="2"/>
      </rPr>
      <t>Quark</t>
    </r>
    <r>
      <rPr>
        <sz val="11"/>
        <color theme="1"/>
        <rFont val="Arial"/>
        <family val="2"/>
      </rPr>
      <t xml:space="preserve"> und </t>
    </r>
    <r>
      <rPr>
        <u/>
        <sz val="11"/>
        <color theme="1"/>
        <rFont val="Arial"/>
        <family val="2"/>
      </rPr>
      <t/>
    </r>
  </si>
  <si>
    <r>
      <rPr>
        <u/>
        <sz val="11"/>
        <color theme="1"/>
        <rFont val="Arial"/>
        <family val="2"/>
      </rPr>
      <t>Antiquark</t>
    </r>
    <r>
      <rPr>
        <sz val="11"/>
        <color theme="1"/>
        <rFont val="Arial"/>
        <family val="2"/>
      </rPr>
      <t>. Ist ein Hadron aus 3 Qaurks aufgebaut, zählt es zu den</t>
    </r>
  </si>
  <si>
    <t>(griech. barys "schwer").</t>
  </si>
  <si>
    <t>Teilchen, die aus den anderen Flavours  bestehen, (charm, top, stange, bottom)</t>
  </si>
  <si>
    <t xml:space="preserve">können zwar in Teilchenbeschleunigern erzeugt werden, haben aber eine viel </t>
  </si>
  <si>
    <r>
      <t>größere Masse u. zerfallen rasch (nach 10</t>
    </r>
    <r>
      <rPr>
        <vertAlign val="superscript"/>
        <sz val="11"/>
        <color rgb="FF002060"/>
        <rFont val="Arial"/>
        <family val="2"/>
      </rPr>
      <t>-12</t>
    </r>
    <r>
      <rPr>
        <sz val="11"/>
        <color rgb="FF002060"/>
        <rFont val="Arial"/>
        <family val="2"/>
      </rPr>
      <t xml:space="preserve"> - 10</t>
    </r>
    <r>
      <rPr>
        <vertAlign val="superscript"/>
        <sz val="11"/>
        <color rgb="FF002060"/>
        <rFont val="Arial"/>
        <family val="2"/>
      </rPr>
      <t>-25</t>
    </r>
    <r>
      <rPr>
        <sz val="11"/>
        <color rgb="FF002060"/>
        <rFont val="Arial"/>
        <family val="2"/>
      </rPr>
      <t xml:space="preserve"> s) in Protonen u. Neutronen.</t>
    </r>
  </si>
  <si>
    <t>Überdies gibt es zu jedem Materieteilchen (Fermion) ein passendes Antiteilchen.</t>
  </si>
  <si>
    <r>
      <t>uns nur aus diesen 3 Arten von Fermionen:</t>
    </r>
    <r>
      <rPr>
        <sz val="11"/>
        <color theme="6" tint="-0.499984740745262"/>
        <rFont val="Arial"/>
        <family val="2"/>
      </rPr>
      <t xml:space="preserve"> </t>
    </r>
    <r>
      <rPr>
        <u/>
        <sz val="11"/>
        <color rgb="FF002060"/>
        <rFont val="Arial"/>
        <family val="2"/>
      </rPr>
      <t>Up-Quark</t>
    </r>
    <r>
      <rPr>
        <sz val="11"/>
        <color rgb="FF002060"/>
        <rFont val="Arial"/>
        <family val="2"/>
      </rPr>
      <t xml:space="preserve">, </t>
    </r>
    <r>
      <rPr>
        <u/>
        <sz val="11"/>
        <color rgb="FF002060"/>
        <rFont val="Arial"/>
        <family val="2"/>
      </rPr>
      <t>Down-Quark</t>
    </r>
    <r>
      <rPr>
        <sz val="11"/>
        <color rgb="FF002060"/>
        <rFont val="Arial"/>
        <family val="2"/>
      </rPr>
      <t xml:space="preserve"> u.</t>
    </r>
    <r>
      <rPr>
        <u/>
        <sz val="11"/>
        <color rgb="FF002060"/>
        <rFont val="Arial"/>
        <family val="2"/>
      </rPr>
      <t xml:space="preserve"> Elektron</t>
    </r>
    <r>
      <rPr>
        <sz val="11"/>
        <color rgb="FF002060"/>
        <rFont val="Arial"/>
        <family val="2"/>
      </rPr>
      <t>.</t>
    </r>
  </si>
  <si>
    <t xml:space="preserve">Trotz dieser Vielfalt an Teilchen und Antiteilchen bestehen wir und die Welt um </t>
  </si>
  <si>
    <t>(positiv), genau dem Elektron. Sobald Materie und Antimaterie aufeinander treffen</t>
  </si>
  <si>
    <r>
      <rPr>
        <b/>
        <sz val="11"/>
        <color rgb="FF002060"/>
        <rFont val="Arial"/>
        <family val="2"/>
      </rPr>
      <t>Beispiele</t>
    </r>
    <r>
      <rPr>
        <sz val="11"/>
        <color rgb="FF002060"/>
        <rFont val="Arial"/>
        <family val="2"/>
      </rPr>
      <t>:  Licht, chemische Bindung (Valenzelektronen), Photoeffekt.</t>
    </r>
  </si>
  <si>
    <t>Astronomie</t>
  </si>
  <si>
    <t>Merkur</t>
  </si>
  <si>
    <t>Erde</t>
  </si>
  <si>
    <t>Mars</t>
  </si>
  <si>
    <t>Jupiter</t>
  </si>
  <si>
    <t>Saturn</t>
  </si>
  <si>
    <t>Uranus</t>
  </si>
  <si>
    <t xml:space="preserve">Venus </t>
  </si>
  <si>
    <t>Neptun</t>
  </si>
  <si>
    <t>Sonne</t>
  </si>
  <si>
    <t>[Erdmasse]</t>
  </si>
  <si>
    <t>[AE]</t>
  </si>
  <si>
    <t>[kg]</t>
  </si>
  <si>
    <t>Massen- (Energie) - Bilanz:</t>
  </si>
  <si>
    <t xml:space="preserve">E = </t>
  </si>
  <si>
    <t xml:space="preserve">1 u = </t>
  </si>
  <si>
    <t xml:space="preserve"> MeV</t>
  </si>
  <si>
    <t>Grafik: Ip-uni-goettingen.de</t>
  </si>
  <si>
    <t>-</t>
  </si>
  <si>
    <t>Grafik: www.spaceweather.at</t>
  </si>
  <si>
    <t>Grafik: dpg-physik.de</t>
  </si>
  <si>
    <t>Was passiert wenn ein Stern keinen Wasserstoffvorrat mehr hat?</t>
  </si>
  <si>
    <r>
      <rPr>
        <b/>
        <sz val="11"/>
        <color rgb="FF002060"/>
        <rFont val="Arial"/>
        <family val="2"/>
      </rPr>
      <t>Hertzprung-Russel-Diagramm</t>
    </r>
    <r>
      <rPr>
        <sz val="11"/>
        <color theme="1"/>
        <rFont val="Arial"/>
        <family val="2"/>
      </rPr>
      <t>.</t>
    </r>
  </si>
  <si>
    <t>Grafik: quant.uni-graz.at</t>
  </si>
  <si>
    <t xml:space="preserve">Zu jeder Zeit verschwinden in Galaxien Sterne </t>
  </si>
  <si>
    <t>und es kommen neue hinzu.</t>
  </si>
  <si>
    <t>Grafik: Wikipedia.org</t>
  </si>
  <si>
    <t>Pulsar</t>
  </si>
  <si>
    <t>Enfernungsbestimmung in der Astronomie</t>
  </si>
  <si>
    <t>Trigonometrische Parallaxe</t>
  </si>
  <si>
    <t>Die Bogensekunde ist eine Einheit, um die Größe von Winkeln im Gradmaß anzugeben.</t>
  </si>
  <si>
    <t xml:space="preserve">1´´ = </t>
  </si>
  <si>
    <t>° (grad)</t>
  </si>
  <si>
    <t xml:space="preserve"> AE</t>
  </si>
  <si>
    <t xml:space="preserve"> Lj</t>
  </si>
  <si>
    <t>Parallaxe:</t>
  </si>
  <si>
    <t xml:space="preserve"> ´´</t>
  </si>
  <si>
    <t>1 ° =</t>
  </si>
  <si>
    <t>Die Grafik zeigt den stabilen Zustand eines Sterns.</t>
  </si>
  <si>
    <t>´´ (Bogensekunde)</t>
  </si>
  <si>
    <t xml:space="preserve"> pc</t>
  </si>
  <si>
    <t xml:space="preserve">Visuelle Helligkeit m = </t>
  </si>
  <si>
    <t xml:space="preserve">Absolute Helligkeit M = </t>
  </si>
  <si>
    <t>Rigel:</t>
  </si>
  <si>
    <t xml:space="preserve">Beteigeuze: </t>
  </si>
  <si>
    <t>Abbsolute Helligkeit / Standardkerze</t>
  </si>
  <si>
    <t xml:space="preserve">           Kosmische Entfernungsleiter</t>
  </si>
  <si>
    <t xml:space="preserve">  in Parsec (pc) ist.</t>
  </si>
  <si>
    <r>
      <t xml:space="preserve">  wobei </t>
    </r>
    <r>
      <rPr>
        <b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die Entfernung</t>
    </r>
  </si>
  <si>
    <t>Die kosmische Entfernungsleiter zeigt die unterschied-</t>
  </si>
  <si>
    <t>dehnung des Universums ins Rote verschoben. Je grö-</t>
  </si>
  <si>
    <t>lichen Methoden, die je nach Distanz des Objekts zum</t>
  </si>
  <si>
    <t xml:space="preserve">Einsatz kommen bzw. geeignet sind. </t>
  </si>
  <si>
    <t>Andromeda-Galaxie</t>
  </si>
  <si>
    <t xml:space="preserve">ung, um so schneller dehnt sich der Raum aus und um </t>
  </si>
  <si>
    <t>Die Absorptionslinien einer Galaxie sind durch die Aus-</t>
  </si>
  <si>
    <t>Mit Cepheiden (Art v. pulsationsveränderlichen Sternen)</t>
  </si>
  <si>
    <t>und Supernovae als Standardkerzen kann man die Dis-</t>
  </si>
  <si>
    <t>tanzen zu anderen Galaxien / Galaxienhaufen ermitteln.</t>
  </si>
  <si>
    <t>ßer die Entfernung, um so größer ist die Rotverschieb-</t>
  </si>
  <si>
    <t xml:space="preserve"> mag</t>
  </si>
  <si>
    <t>Wellenlängenänderung der Absorptionslinien:</t>
  </si>
  <si>
    <t>Jährliche Eigenbewegung:</t>
  </si>
  <si>
    <t xml:space="preserve">Abstand zur Sonne r = </t>
  </si>
  <si>
    <t>Noch ist kein sterbender Roter Zwerg gesichtet worden, so dass davon</t>
  </si>
  <si>
    <t>1.</t>
  </si>
  <si>
    <t>2.</t>
  </si>
  <si>
    <t>Wega wurde die Helligkeit 0 mag zugeschrieben.</t>
  </si>
  <si>
    <t>4.</t>
  </si>
  <si>
    <t>Daraus ergeben sich die mathematischen Zusammenhänge:</t>
  </si>
  <si>
    <r>
      <rPr>
        <b/>
        <sz val="12"/>
        <color rgb="FF002060"/>
        <rFont val="Arial"/>
        <family val="2"/>
      </rPr>
      <t>Magnituden-System</t>
    </r>
    <r>
      <rPr>
        <sz val="12"/>
        <color theme="1"/>
        <rFont val="Arial"/>
        <family val="2"/>
      </rPr>
      <t xml:space="preserve"> als Angabe für die Helligkeit</t>
    </r>
  </si>
  <si>
    <r>
      <t xml:space="preserve"> S</t>
    </r>
    <r>
      <rPr>
        <vertAlign val="subscript"/>
        <sz val="11"/>
        <color theme="1"/>
        <rFont val="Arial"/>
        <family val="2"/>
      </rPr>
      <t>So</t>
    </r>
    <r>
      <rPr>
        <sz val="11"/>
        <color theme="1"/>
        <rFont val="Arial"/>
        <family val="2"/>
      </rPr>
      <t xml:space="preserve"> =</t>
    </r>
  </si>
  <si>
    <r>
      <t>L</t>
    </r>
    <r>
      <rPr>
        <vertAlign val="subscript"/>
        <sz val="11"/>
        <color theme="1"/>
        <rFont val="Arial"/>
        <family val="2"/>
      </rPr>
      <t>So</t>
    </r>
    <r>
      <rPr>
        <sz val="11"/>
        <color theme="1"/>
        <rFont val="Arial"/>
        <family val="2"/>
      </rPr>
      <t xml:space="preserve"> =</t>
    </r>
  </si>
  <si>
    <r>
      <t xml:space="preserve"> W</t>
    </r>
    <r>
      <rPr>
        <sz val="11"/>
        <color theme="1"/>
        <rFont val="Calibri"/>
        <family val="2"/>
      </rPr>
      <t>∙m</t>
    </r>
    <r>
      <rPr>
        <vertAlign val="superscript"/>
        <sz val="11"/>
        <color theme="1"/>
        <rFont val="Calibri"/>
        <family val="2"/>
      </rPr>
      <t>-2</t>
    </r>
    <r>
      <rPr>
        <sz val="11"/>
        <color theme="1"/>
        <rFont val="Calibri"/>
        <family val="2"/>
      </rPr>
      <t xml:space="preserve"> ; J∙m</t>
    </r>
    <r>
      <rPr>
        <vertAlign val="superscript"/>
        <sz val="11"/>
        <color theme="1"/>
        <rFont val="Calibri"/>
        <family val="2"/>
      </rPr>
      <t>-2</t>
    </r>
    <r>
      <rPr>
        <sz val="11"/>
        <color theme="1"/>
        <rFont val="Calibri"/>
        <family val="2"/>
      </rPr>
      <t>∙s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 xml:space="preserve"> ; kg∙s</t>
    </r>
    <r>
      <rPr>
        <vertAlign val="superscript"/>
        <sz val="11"/>
        <color theme="1"/>
        <rFont val="Calibri"/>
        <family val="2"/>
      </rPr>
      <t>-3</t>
    </r>
  </si>
  <si>
    <t>1 pc =</t>
  </si>
  <si>
    <t>Abstand Erde-Sonne:</t>
  </si>
  <si>
    <t>Umrechnung Parsec in m:</t>
  </si>
  <si>
    <t>Wie groß ist die absolute Helligkeit des Sterns?</t>
  </si>
  <si>
    <t>Als Mittelwert für die Solarkonstante wurde 1982 international festgelegt:</t>
  </si>
  <si>
    <r>
      <t>M</t>
    </r>
    <r>
      <rPr>
        <vertAlign val="subscript"/>
        <sz val="11"/>
        <color theme="1"/>
        <rFont val="Arial"/>
        <family val="2"/>
      </rPr>
      <t>So</t>
    </r>
    <r>
      <rPr>
        <sz val="11"/>
        <color theme="1"/>
        <rFont val="Arial"/>
        <family val="2"/>
      </rPr>
      <t xml:space="preserve"> =</t>
    </r>
  </si>
  <si>
    <t xml:space="preserve">Entfernungsbestimmung mit Cepheiden </t>
  </si>
  <si>
    <t xml:space="preserve">Cepheiden sind eine Klasse von Sternen, deren Helligkeit </t>
  </si>
  <si>
    <t>periodisch schwankt (wenige bis 100 Tage). Durch Beob-</t>
  </si>
  <si>
    <t>D =</t>
  </si>
  <si>
    <t>pc</t>
  </si>
  <si>
    <t xml:space="preserve"> mag </t>
  </si>
  <si>
    <t>heller der Stern. Um die absoluten Helligkeiten zu erhalten</t>
  </si>
  <si>
    <r>
      <t xml:space="preserve">1993 wurden 30 Cepheiden in der </t>
    </r>
    <r>
      <rPr>
        <b/>
        <sz val="11"/>
        <color rgb="FF002060"/>
        <rFont val="Arial"/>
        <family val="2"/>
      </rPr>
      <t>Galaxie M81</t>
    </r>
    <r>
      <rPr>
        <sz val="11"/>
        <color rgb="FF002060"/>
        <rFont val="Arial"/>
        <family val="2"/>
      </rPr>
      <t xml:space="preserve"> ausgewertet (Hubble-Teleskop). Daten für</t>
    </r>
    <r>
      <rPr>
        <b/>
        <sz val="11"/>
        <color rgb="FF002060"/>
        <rFont val="Arial"/>
        <family val="2"/>
      </rPr>
      <t xml:space="preserve"> C29:</t>
    </r>
  </si>
  <si>
    <t>3.</t>
  </si>
  <si>
    <r>
      <t xml:space="preserve">Für die Sonne (m = -26,7 / M = 4,87) ist das Ergebnis, wie zu erwarten, 1,58 </t>
    </r>
    <r>
      <rPr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>10</t>
    </r>
    <r>
      <rPr>
        <vertAlign val="superscript"/>
        <sz val="11"/>
        <color rgb="FF002060"/>
        <rFont val="Arial"/>
        <family val="2"/>
      </rPr>
      <t>-5</t>
    </r>
    <r>
      <rPr>
        <sz val="11"/>
        <color rgb="FF002060"/>
        <rFont val="Calibri"/>
        <family val="2"/>
      </rPr>
      <t xml:space="preserve"> </t>
    </r>
    <r>
      <rPr>
        <sz val="11"/>
        <color rgb="FF002060"/>
        <rFont val="Arial"/>
        <family val="2"/>
      </rPr>
      <t>Lj = 8,32 Lmin.</t>
    </r>
  </si>
  <si>
    <r>
      <t>achtungen fand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Leavitt</t>
    </r>
    <r>
      <rPr>
        <sz val="11"/>
        <color theme="1"/>
        <rFont val="Arial"/>
        <family val="2"/>
      </rPr>
      <t xml:space="preserve"> heraus, dass d. Helligkeit von der </t>
    </r>
  </si>
  <si>
    <t xml:space="preserve">                                                       im Sternbild Stier</t>
  </si>
  <si>
    <t>(errechnen) wurden die Distanzen naher Cepheiden über</t>
  </si>
  <si>
    <t>trigonom. Parallaxen bestimmt und so die Skala kalibriert.</t>
  </si>
  <si>
    <r>
      <t>S</t>
    </r>
    <r>
      <rPr>
        <vertAlign val="subscript"/>
        <sz val="11"/>
        <color theme="1"/>
        <rFont val="Arial"/>
        <family val="2"/>
      </rPr>
      <t xml:space="preserve">1 ; </t>
    </r>
    <r>
      <rPr>
        <sz val="11"/>
        <color theme="1"/>
        <rFont val="Arial"/>
        <family val="2"/>
      </rPr>
      <t>S</t>
    </r>
    <r>
      <rPr>
        <vertAlign val="subscript"/>
        <sz val="11"/>
        <color theme="1"/>
        <rFont val="Arial"/>
        <family val="2"/>
      </rPr>
      <t>2</t>
    </r>
  </si>
  <si>
    <r>
      <t xml:space="preserve"> m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; m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   </t>
    </r>
  </si>
  <si>
    <t xml:space="preserve">  Magnitudendifferenz der Sterne 1 und 2</t>
  </si>
  <si>
    <t xml:space="preserve">  Stahlungsstrom Stern 1 bzw. Stern 2</t>
  </si>
  <si>
    <t xml:space="preserve"> g/cm³</t>
  </si>
  <si>
    <t xml:space="preserve"> K</t>
  </si>
  <si>
    <t>Temperatur im Kern:</t>
  </si>
  <si>
    <t>Durchmess:</t>
  </si>
  <si>
    <t>Dichte Kern:</t>
  </si>
  <si>
    <t>Druck Kern:</t>
  </si>
  <si>
    <t xml:space="preserve"> km</t>
  </si>
  <si>
    <t xml:space="preserve"> E = </t>
  </si>
  <si>
    <t>Leuchtkraft und absolute Helligkeit der Sonne</t>
  </si>
  <si>
    <t>Schwere-Beschleunigung:</t>
  </si>
  <si>
    <t>Kern:</t>
  </si>
  <si>
    <t>Stahlungszone:</t>
  </si>
  <si>
    <t>Konvektionszone:</t>
  </si>
  <si>
    <t>Chromosspähre:</t>
  </si>
  <si>
    <t>Photospähre:</t>
  </si>
  <si>
    <t>Korona:</t>
  </si>
  <si>
    <t xml:space="preserve">                          Aufbau der Sonne</t>
  </si>
  <si>
    <t>Gravitative Rotverschiebung:</t>
  </si>
  <si>
    <t>Entfernungsbestimmung mit Supernova Typ I a</t>
  </si>
  <si>
    <t>Grafik: www.der-Kosmos.de</t>
  </si>
  <si>
    <t xml:space="preserve">1´´ entspricht 1 pc = </t>
  </si>
  <si>
    <t>Literarturwert:</t>
  </si>
  <si>
    <t>Objekt:</t>
  </si>
  <si>
    <t>Oberflächentemperatur des Objekts:</t>
  </si>
  <si>
    <r>
      <t xml:space="preserve">Leuchtkraft des Objekts (als das Vielfache </t>
    </r>
    <r>
      <rPr>
        <b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Sonne):</t>
    </r>
  </si>
  <si>
    <r>
      <t>L</t>
    </r>
    <r>
      <rPr>
        <vertAlign val="subscript"/>
        <sz val="11"/>
        <color theme="1"/>
        <rFont val="Arial"/>
        <family val="2"/>
      </rPr>
      <t>Objekt</t>
    </r>
    <r>
      <rPr>
        <sz val="11"/>
        <color theme="1"/>
        <rFont val="Arial"/>
        <family val="2"/>
      </rPr>
      <t xml:space="preserve"> =</t>
    </r>
  </si>
  <si>
    <r>
      <t xml:space="preserve"> W ; J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 xml:space="preserve"> s</t>
    </r>
  </si>
  <si>
    <r>
      <t xml:space="preserve"> m 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 xml:space="preserve"> K</t>
    </r>
  </si>
  <si>
    <r>
      <t xml:space="preserve"> W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K</t>
    </r>
    <r>
      <rPr>
        <vertAlign val="superscript"/>
        <sz val="11"/>
        <color theme="1"/>
        <rFont val="Arial"/>
        <family val="2"/>
      </rPr>
      <t>4</t>
    </r>
  </si>
  <si>
    <t>Radius des Objekts:</t>
  </si>
  <si>
    <t xml:space="preserve"> m ∙ K</t>
  </si>
  <si>
    <r>
      <t>L</t>
    </r>
    <r>
      <rPr>
        <vertAlign val="subscript"/>
        <sz val="11"/>
        <color theme="1"/>
        <rFont val="Arial"/>
        <family val="2"/>
      </rPr>
      <t>Objekt</t>
    </r>
    <r>
      <rPr>
        <sz val="11"/>
        <color theme="1"/>
        <rFont val="Arial"/>
        <family val="2"/>
      </rPr>
      <t xml:space="preserve"> = 10</t>
    </r>
    <r>
      <rPr>
        <vertAlign val="superscript"/>
        <sz val="11"/>
        <color theme="1"/>
        <rFont val="Arial"/>
        <family val="2"/>
      </rPr>
      <t>0,4</t>
    </r>
    <r>
      <rPr>
        <vertAlign val="superscript"/>
        <sz val="11"/>
        <color theme="1"/>
        <rFont val="Calibri"/>
        <family val="2"/>
      </rPr>
      <t>∙</t>
    </r>
    <r>
      <rPr>
        <vertAlign val="superscript"/>
        <sz val="11"/>
        <color theme="1"/>
        <rFont val="Arial"/>
        <family val="2"/>
      </rPr>
      <t>(M Sonne - M Objekt)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 xml:space="preserve"> L</t>
    </r>
    <r>
      <rPr>
        <vertAlign val="subscript"/>
        <sz val="11"/>
        <color theme="1"/>
        <rFont val="Arial"/>
        <family val="2"/>
      </rPr>
      <t>Sonne</t>
    </r>
  </si>
  <si>
    <t>umgestellt</t>
  </si>
  <si>
    <t>4,8 bis 4,9</t>
  </si>
  <si>
    <t>Entfernungsmodul</t>
  </si>
  <si>
    <t xml:space="preserve"> Wiensches Verschiebungsgesetz</t>
  </si>
  <si>
    <t xml:space="preserve">´´ </t>
  </si>
  <si>
    <t>so schneller entfernen sich die Galaxien voneinander.</t>
  </si>
  <si>
    <t xml:space="preserve">Wie groß ist die Leuchtkraft in Vielfachen der </t>
  </si>
  <si>
    <t>Leuchtkraft der Sonne?</t>
  </si>
  <si>
    <t>Trigonom. Parallaxe</t>
  </si>
  <si>
    <t xml:space="preserve">Wie groß ist die Geschwindigkeit, mit der sich </t>
  </si>
  <si>
    <t>das Objekt relativ zur Sonne bewegt?</t>
  </si>
  <si>
    <t>Wie groß ist die Oberflächentemperatur des Ojekts?</t>
  </si>
  <si>
    <t>Wie groß ist der Radius des Objekts?</t>
  </si>
  <si>
    <r>
      <rPr>
        <sz val="12"/>
        <color theme="1"/>
        <rFont val="Calibri"/>
        <family val="2"/>
      </rPr>
      <t>μ</t>
    </r>
    <r>
      <rPr>
        <sz val="11"/>
        <color theme="1"/>
        <rFont val="Arial"/>
        <family val="2"/>
      </rPr>
      <t xml:space="preserve"> = </t>
    </r>
  </si>
  <si>
    <r>
      <t>v</t>
    </r>
    <r>
      <rPr>
        <vertAlign val="subscript"/>
        <sz val="11"/>
        <color theme="1"/>
        <rFont val="Arial"/>
        <family val="2"/>
      </rPr>
      <t>rad</t>
    </r>
    <r>
      <rPr>
        <sz val="11"/>
        <color theme="1"/>
        <rFont val="Arial"/>
        <family val="2"/>
      </rPr>
      <t xml:space="preserve"> =</t>
    </r>
  </si>
  <si>
    <r>
      <t>v</t>
    </r>
    <r>
      <rPr>
        <vertAlign val="subscript"/>
        <sz val="11"/>
        <color theme="1"/>
        <rFont val="Arial"/>
        <family val="2"/>
      </rPr>
      <t>tan</t>
    </r>
    <r>
      <rPr>
        <sz val="11"/>
        <color theme="1"/>
        <rFont val="Arial"/>
        <family val="2"/>
      </rPr>
      <t xml:space="preserve"> =</t>
    </r>
  </si>
  <si>
    <t xml:space="preserve"> rad</t>
  </si>
  <si>
    <t xml:space="preserve">1´´ analog 1 pc = </t>
  </si>
  <si>
    <t xml:space="preserve">v = </t>
  </si>
  <si>
    <t>Radialgeschwindigkeit:</t>
  </si>
  <si>
    <t>Tangentialgeschwindigkeit:</t>
  </si>
  <si>
    <t>Relativgechwindigkeit zur Sonne:</t>
  </si>
  <si>
    <r>
      <t xml:space="preserve">  L</t>
    </r>
    <r>
      <rPr>
        <vertAlign val="subscript"/>
        <sz val="10"/>
        <color theme="1"/>
        <rFont val="Arial"/>
        <family val="2"/>
      </rPr>
      <t>Objekt</t>
    </r>
    <r>
      <rPr>
        <sz val="10"/>
        <color theme="1"/>
        <rFont val="Arial"/>
        <family val="2"/>
      </rPr>
      <t xml:space="preserve"> = ε(T) ∙ σ ∙ A ∙ T</t>
    </r>
    <r>
      <rPr>
        <vertAlign val="superscript"/>
        <sz val="10"/>
        <color theme="1"/>
        <rFont val="Arial"/>
        <family val="2"/>
      </rPr>
      <t>4</t>
    </r>
  </si>
  <si>
    <t>Grafiken Physikalischer Verein Frankfurt</t>
  </si>
  <si>
    <t>Grunddaten der Sonne:</t>
  </si>
  <si>
    <t>Globular Clusters:</t>
  </si>
  <si>
    <t>Kugelsternhaufen</t>
  </si>
  <si>
    <t>Galaktischer Lichtschein, Halo</t>
  </si>
  <si>
    <t>Galactic halo:</t>
  </si>
  <si>
    <t>Galactic bulge:</t>
  </si>
  <si>
    <t>Galaktische Aufwölbung</t>
  </si>
  <si>
    <t>Galactik center:</t>
  </si>
  <si>
    <t>Galaktisches Zentrum</t>
  </si>
  <si>
    <t>Galactic disk:</t>
  </si>
  <si>
    <t>Glaxienscheibe</t>
  </si>
  <si>
    <t>Gas and dust:</t>
  </si>
  <si>
    <t>Gas und Staub</t>
  </si>
  <si>
    <t>Offener Sternhaufen</t>
  </si>
  <si>
    <t>Open cluster:</t>
  </si>
  <si>
    <t>Planetarischer Nebel</t>
  </si>
  <si>
    <t>Emission nebula:</t>
  </si>
  <si>
    <r>
      <t xml:space="preserve"> Eingabe L</t>
    </r>
    <r>
      <rPr>
        <vertAlign val="subscript"/>
        <sz val="9"/>
        <color theme="1"/>
        <rFont val="Arial"/>
        <family val="2"/>
      </rPr>
      <t>Objet</t>
    </r>
    <r>
      <rPr>
        <sz val="9"/>
        <color theme="1"/>
        <rFont val="Arial"/>
        <family val="2"/>
      </rPr>
      <t xml:space="preserve"> in Vielfach. L</t>
    </r>
    <r>
      <rPr>
        <vertAlign val="subscript"/>
        <sz val="9"/>
        <color theme="1"/>
        <rFont val="Arial"/>
        <family val="2"/>
      </rPr>
      <t>Sonne</t>
    </r>
  </si>
  <si>
    <t>Oberflächen-Temp. (Photosphäre):</t>
  </si>
  <si>
    <t>Grafik: physik.cosmos-indirekt.de</t>
  </si>
  <si>
    <t>Heimatkunde: Unser Sonnensystem</t>
  </si>
  <si>
    <t>entfernter Objekte 1 und 2 (wie z.B. Venus und Erde).</t>
  </si>
  <si>
    <t xml:space="preserve"> zweier unterschiedlich weit vom Zentralkörper</t>
  </si>
  <si>
    <r>
      <rPr>
        <b/>
        <sz val="11"/>
        <color theme="1"/>
        <rFont val="Arial"/>
        <family val="2"/>
      </rPr>
      <t>Messwert G</t>
    </r>
    <r>
      <rPr>
        <sz val="11"/>
        <color theme="1"/>
        <rFont val="Arial"/>
        <family val="2"/>
      </rPr>
      <t xml:space="preserve"> (erstmals 1798 durch Henry Cavendish, engl. Physiker):</t>
    </r>
  </si>
  <si>
    <t>Erde um die Sonne</t>
  </si>
  <si>
    <t>https://www.youtube.com/watch?v=ffLW-FS8rxk</t>
  </si>
  <si>
    <t>Zeit, die Astronaut Max jünger ist als sein auf</t>
  </si>
  <si>
    <r>
      <t xml:space="preserve"> Lichtimpuls </t>
    </r>
    <r>
      <rPr>
        <b/>
        <sz val="10"/>
        <color rgb="FFC00000"/>
        <rFont val="Arial"/>
        <family val="2"/>
      </rPr>
      <t xml:space="preserve">c </t>
    </r>
    <r>
      <rPr>
        <b/>
        <sz val="10"/>
        <color rgb="FFC00000"/>
        <rFont val="Calibri"/>
        <family val="2"/>
      </rPr>
      <t>→</t>
    </r>
  </si>
  <si>
    <r>
      <rPr>
        <b/>
        <sz val="10"/>
        <color rgb="FFC00000"/>
        <rFont val="Calibri"/>
        <family val="2"/>
      </rPr>
      <t xml:space="preserve">← </t>
    </r>
    <r>
      <rPr>
        <b/>
        <sz val="10"/>
        <color rgb="FFC00000"/>
        <rFont val="Arial"/>
        <family val="2"/>
      </rPr>
      <t>c</t>
    </r>
    <r>
      <rPr>
        <b/>
        <sz val="10"/>
        <color rgb="FF002060"/>
        <rFont val="Calibri"/>
        <family val="2"/>
      </rPr>
      <t xml:space="preserve"> </t>
    </r>
    <r>
      <rPr>
        <b/>
        <sz val="10"/>
        <color rgb="FF002060"/>
        <rFont val="Arial"/>
        <family val="2"/>
      </rPr>
      <t xml:space="preserve"> Lichtimpuls  </t>
    </r>
  </si>
  <si>
    <t>Die Blitze fanden in ihrem "ruhenden" Bezugssystem statt und der Weg der</t>
  </si>
  <si>
    <t>kommt das Licht der Blitze auch gleichzeitig an der Raumstation an und so</t>
  </si>
  <si>
    <r>
      <t xml:space="preserve">nimmt die Besatzung die Blitze A und B als </t>
    </r>
    <r>
      <rPr>
        <b/>
        <sz val="10"/>
        <rFont val="Arial"/>
        <family val="2"/>
      </rPr>
      <t>gleichzeitige Ereignisse</t>
    </r>
    <r>
      <rPr>
        <sz val="10"/>
        <rFont val="Arial"/>
        <family val="2"/>
      </rPr>
      <t xml:space="preserve"> wahr.</t>
    </r>
  </si>
  <si>
    <r>
      <t xml:space="preserve">für die Raumschiffbesatzung </t>
    </r>
    <r>
      <rPr>
        <b/>
        <sz val="10"/>
        <rFont val="Arial"/>
        <family val="2"/>
      </rPr>
      <t>keine gleichzeitigen Ereignisse</t>
    </r>
    <r>
      <rPr>
        <sz val="10"/>
        <rFont val="Arial"/>
        <family val="2"/>
      </rPr>
      <t>.</t>
    </r>
  </si>
  <si>
    <t>a</t>
  </si>
  <si>
    <t>1 Ly =</t>
  </si>
  <si>
    <t>1 a =</t>
  </si>
  <si>
    <t>t [a]</t>
  </si>
  <si>
    <t>x´ [Ly]</t>
  </si>
  <si>
    <t>x [Ly]</t>
  </si>
  <si>
    <t>x´[Ly] Galilei</t>
  </si>
  <si>
    <t>t´ [a]</t>
  </si>
  <si>
    <t>Hendrik Antoon Lorentz 1858 -1923</t>
  </si>
  <si>
    <t xml:space="preserve"> Ly</t>
  </si>
  <si>
    <t xml:space="preserve"> a</t>
  </si>
  <si>
    <t xml:space="preserve"> s</t>
  </si>
  <si>
    <t>Perspektive der Crew der Raumstation:</t>
  </si>
  <si>
    <t>Perspektive der Crew des Raumschiffs:</t>
  </si>
  <si>
    <r>
      <t xml:space="preserve">Lichtsignale bis zu ihnen beträgt jeweils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Ly. Da die Wege gleich lang sind,</t>
    </r>
  </si>
  <si>
    <t>Weitere Anmerkung:</t>
  </si>
  <si>
    <t>gleichberechtigt): Vom Schiff aus erscheint die "vorbeiziehende" Station kür-</t>
  </si>
  <si>
    <r>
      <t xml:space="preserve">Die Crew der "ruhenden" Raumstation sieht das "bewegte" Raumschiff in </t>
    </r>
    <r>
      <rPr>
        <b/>
        <sz val="10"/>
        <color rgb="FF002060"/>
        <rFont val="Arial"/>
        <family val="2"/>
      </rPr>
      <t>x-</t>
    </r>
  </si>
  <si>
    <t>samer gehen (Zeit-Dilatation). Das gilt umgekehrt auch (Inertialsysteme sind</t>
  </si>
  <si>
    <t>zer und die Stationsuhr langsamer zu gehen. Keine Auswirk.: y- u. z-Achse!</t>
  </si>
  <si>
    <t>Aussage über die Koordinaten eines Ereignisses in verschiedenen</t>
  </si>
  <si>
    <t>Inertialsystemen.</t>
  </si>
  <si>
    <t>D / 2 = -x</t>
  </si>
  <si>
    <t>D / 2 = x</t>
  </si>
  <si>
    <t>Fazit:</t>
  </si>
  <si>
    <r>
      <rPr>
        <b/>
        <sz val="10"/>
        <color rgb="FFC00000"/>
        <rFont val="Arial"/>
        <family val="2"/>
      </rPr>
      <t>Blitz A</t>
    </r>
    <r>
      <rPr>
        <b/>
        <sz val="10"/>
        <color rgb="FF002060"/>
        <rFont val="Arial"/>
        <family val="2"/>
      </rPr>
      <t>: x = -4,000 Ly</t>
    </r>
    <r>
      <rPr>
        <sz val="10"/>
        <color rgb="FF002060"/>
        <rFont val="Arial"/>
        <family val="2"/>
      </rPr>
      <t xml:space="preserve">  | y = 0  Ly  | z = 0  Ly  |  </t>
    </r>
    <r>
      <rPr>
        <b/>
        <sz val="10"/>
        <color rgb="FF002060"/>
        <rFont val="Arial"/>
        <family val="2"/>
      </rPr>
      <t>Zeit t = 0</t>
    </r>
  </si>
  <si>
    <r>
      <rPr>
        <b/>
        <sz val="10"/>
        <color rgb="FFC00000"/>
        <rFont val="Arial"/>
        <family val="2"/>
      </rPr>
      <t>Blitz B</t>
    </r>
    <r>
      <rPr>
        <sz val="10"/>
        <color rgb="FF002060"/>
        <rFont val="Arial"/>
        <family val="2"/>
      </rPr>
      <t xml:space="preserve">: </t>
    </r>
    <r>
      <rPr>
        <b/>
        <sz val="10"/>
        <color rgb="FF002060"/>
        <rFont val="Arial"/>
        <family val="2"/>
      </rPr>
      <t>x =  4,000 Ly</t>
    </r>
    <r>
      <rPr>
        <sz val="10"/>
        <color rgb="FF002060"/>
        <rFont val="Arial"/>
        <family val="2"/>
      </rPr>
      <t xml:space="preserve">  | y = 0  Ly  | z = 0  Ly  |  </t>
    </r>
    <r>
      <rPr>
        <b/>
        <sz val="10"/>
        <color rgb="FF002060"/>
        <rFont val="Arial"/>
        <family val="2"/>
      </rPr>
      <t>Zeit t = 0</t>
    </r>
  </si>
  <si>
    <r>
      <t xml:space="preserve">Im Raumschiff wird Blitz A 1,033 Jahre </t>
    </r>
    <r>
      <rPr>
        <b/>
        <sz val="10"/>
        <color rgb="FF002060"/>
        <rFont val="Arial"/>
        <family val="2"/>
      </rPr>
      <t>nach</t>
    </r>
    <r>
      <rPr>
        <sz val="10"/>
        <color rgb="FF002060"/>
        <rFont val="Arial"/>
        <family val="2"/>
      </rPr>
      <t xml:space="preserve"> und Blitz B 1,033 Jahre</t>
    </r>
    <r>
      <rPr>
        <b/>
        <sz val="10"/>
        <color rgb="FF002060"/>
        <rFont val="Arial"/>
        <family val="2"/>
      </rPr>
      <t xml:space="preserve"> vor (-) </t>
    </r>
  </si>
  <si>
    <r>
      <t xml:space="preserve">der Raumschiff-Perspektive fand Blitz A 2,066 Jahre </t>
    </r>
    <r>
      <rPr>
        <b/>
        <sz val="10"/>
        <color rgb="FF002060"/>
        <rFont val="Arial"/>
        <family val="2"/>
      </rPr>
      <t>später</t>
    </r>
    <r>
      <rPr>
        <sz val="10"/>
        <color rgb="FF002060"/>
        <rFont val="Arial"/>
        <family val="2"/>
      </rPr>
      <t xml:space="preserve"> statt als Blitz B.</t>
    </r>
  </si>
  <si>
    <t xml:space="preserve">der Begegnung mit der Raumstation (zur Zeit t = t`= 0) bemerkt. D. h., aus </t>
  </si>
  <si>
    <t>Richtung verkürzt vorüberziehen (Lorentz-Kontraktion) und die Borduhr lang-</t>
  </si>
  <si>
    <t>Geschwindigkeit v</t>
  </si>
  <si>
    <t>Beschleunigung a</t>
  </si>
  <si>
    <t xml:space="preserve">   Zeitachse t</t>
  </si>
  <si>
    <t>Δx =</t>
  </si>
  <si>
    <t>Quintessenz</t>
  </si>
  <si>
    <r>
      <t>λ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 xml:space="preserve"> = </t>
    </r>
  </si>
  <si>
    <r>
      <t xml:space="preserve">Δλ /λ </t>
    </r>
    <r>
      <rPr>
        <sz val="11"/>
        <color theme="1"/>
        <rFont val="Arial"/>
        <family val="2"/>
      </rPr>
      <t>= z =</t>
    </r>
    <r>
      <rPr>
        <sz val="11"/>
        <color theme="1"/>
        <rFont val="Calibri"/>
        <family val="2"/>
      </rPr>
      <t xml:space="preserve"> </t>
    </r>
  </si>
  <si>
    <t>Absolute Helligkeit des Objekts:</t>
  </si>
  <si>
    <t>Das Universum in Deiner Hand, von Christophe Galfard, Seite 136 ff</t>
  </si>
  <si>
    <r>
      <t>T</t>
    </r>
    <r>
      <rPr>
        <vertAlign val="subscript"/>
        <sz val="11"/>
        <color theme="1"/>
        <rFont val="Arial"/>
        <family val="2"/>
      </rPr>
      <t>H</t>
    </r>
    <r>
      <rPr>
        <sz val="11"/>
        <color theme="1"/>
        <rFont val="Arial"/>
        <family val="2"/>
      </rPr>
      <t xml:space="preserve"> =</t>
    </r>
  </si>
  <si>
    <t xml:space="preserve">Stefan-Boltzmann-Ko. σ = </t>
  </si>
  <si>
    <t xml:space="preserve">Wien-Konstante K = </t>
  </si>
  <si>
    <r>
      <t>Radius der Sonne R</t>
    </r>
    <r>
      <rPr>
        <vertAlign val="subscript"/>
        <sz val="11"/>
        <color theme="1"/>
        <rFont val="Arial"/>
        <family val="2"/>
      </rPr>
      <t>Sonne</t>
    </r>
    <r>
      <rPr>
        <sz val="11"/>
        <color theme="1"/>
        <rFont val="Arial"/>
        <family val="2"/>
      </rPr>
      <t xml:space="preserve"> =  </t>
    </r>
  </si>
  <si>
    <t>Masse eines Objektes auf dem Himmelkörper:</t>
  </si>
  <si>
    <r>
      <t>Masse m</t>
    </r>
    <r>
      <rPr>
        <vertAlign val="subscript"/>
        <sz val="11"/>
        <color rgb="FF002060"/>
        <rFont val="Arial"/>
        <family val="2"/>
      </rPr>
      <t>M</t>
    </r>
    <r>
      <rPr>
        <sz val="11"/>
        <color rgb="FF002060"/>
        <rFont val="Arial"/>
        <family val="2"/>
      </rPr>
      <t xml:space="preserve"> = 100 kg</t>
    </r>
  </si>
  <si>
    <r>
      <rPr>
        <b/>
        <sz val="11"/>
        <color rgb="FF002060"/>
        <rFont val="Arial"/>
        <family val="2"/>
      </rPr>
      <t>Beispiel:</t>
    </r>
    <r>
      <rPr>
        <sz val="11"/>
        <color rgb="FF002060"/>
        <rFont val="Arial"/>
        <family val="2"/>
      </rPr>
      <t xml:space="preserve"> Mensch auf der Erde</t>
    </r>
  </si>
  <si>
    <r>
      <t>Radius der Erde R</t>
    </r>
    <r>
      <rPr>
        <vertAlign val="subscript"/>
        <sz val="11"/>
        <color rgb="FF002060"/>
        <rFont val="Arial"/>
        <family val="2"/>
      </rPr>
      <t xml:space="preserve">E </t>
    </r>
    <r>
      <rPr>
        <sz val="11"/>
        <color rgb="FF002060"/>
        <rFont val="Arial"/>
        <family val="2"/>
      </rPr>
      <t>= 6373 km</t>
    </r>
  </si>
  <si>
    <t>Formeln sind wikibooks.org entnommen.</t>
  </si>
  <si>
    <r>
      <t>Der Nachweis der Zeitdilation gelang den amerikanischen Physikern</t>
    </r>
    <r>
      <rPr>
        <b/>
        <sz val="11"/>
        <color theme="1"/>
        <rFont val="Arial"/>
        <family val="2"/>
      </rPr>
      <t xml:space="preserve"> Joseph Hafele</t>
    </r>
    <r>
      <rPr>
        <sz val="11"/>
        <color theme="1"/>
        <rFont val="Arial"/>
        <family val="2"/>
      </rPr>
      <t xml:space="preserve"> und </t>
    </r>
    <r>
      <rPr>
        <b/>
        <sz val="11"/>
        <color theme="1"/>
        <rFont val="Arial"/>
        <family val="2"/>
      </rPr>
      <t>Richard Keating</t>
    </r>
    <r>
      <rPr>
        <sz val="11"/>
        <color theme="1"/>
        <rFont val="Arial"/>
        <family val="2"/>
      </rPr>
      <t xml:space="preserve">: Sie starteten am 04.10.1971 von </t>
    </r>
  </si>
  <si>
    <t>Bord waren vier Atomuhren, die zuvor mit einer in Washington zurückgebliebenen Atomuhr abgeglichen wurden:</t>
  </si>
  <si>
    <r>
      <rPr>
        <b/>
        <sz val="11"/>
        <color theme="1"/>
        <rFont val="Arial"/>
        <family val="2"/>
      </rPr>
      <t>γ</t>
    </r>
    <r>
      <rPr>
        <sz val="11"/>
        <color theme="1"/>
        <rFont val="Calibri"/>
        <family val="2"/>
      </rPr>
      <t xml:space="preserve"> = Δ s =</t>
    </r>
  </si>
  <si>
    <r>
      <rPr>
        <b/>
        <sz val="11"/>
        <color theme="1"/>
        <rFont val="Arial"/>
        <family val="2"/>
      </rPr>
      <t>γ</t>
    </r>
    <r>
      <rPr>
        <sz val="11"/>
        <color theme="1"/>
        <rFont val="Calibri"/>
        <family val="2"/>
      </rPr>
      <t xml:space="preserve"> = Δ τ =</t>
    </r>
  </si>
  <si>
    <t>(t =  t' x γ).</t>
  </si>
  <si>
    <r>
      <t xml:space="preserve">(l =  l' x </t>
    </r>
    <r>
      <rPr>
        <sz val="11"/>
        <color theme="1"/>
        <rFont val="Arial"/>
        <family val="2"/>
      </rPr>
      <t>γ</t>
    </r>
    <r>
      <rPr>
        <sz val="11"/>
        <color theme="1"/>
        <rFont val="Calibri"/>
        <family val="2"/>
        <scheme val="minor"/>
      </rPr>
      <t>).</t>
    </r>
  </si>
  <si>
    <r>
      <t xml:space="preserve">s  ist a. Sicht d. Erde in </t>
    </r>
    <r>
      <rPr>
        <b/>
        <sz val="11"/>
        <color rgb="FF002060"/>
        <rFont val="Arial"/>
        <family val="2"/>
      </rPr>
      <t>R</t>
    </r>
    <r>
      <rPr>
        <sz val="11"/>
        <color rgb="FF002060"/>
        <rFont val="Arial"/>
        <family val="2"/>
      </rPr>
      <t xml:space="preserve">  t´ = </t>
    </r>
  </si>
  <si>
    <r>
      <t xml:space="preserve">m  ist a. Sicht d. Erde in </t>
    </r>
    <r>
      <rPr>
        <b/>
        <sz val="11"/>
        <color rgb="FF002060"/>
        <rFont val="Arial"/>
        <family val="2"/>
      </rPr>
      <t>R</t>
    </r>
    <r>
      <rPr>
        <sz val="11"/>
        <color rgb="FF002060"/>
        <rFont val="Arial"/>
        <family val="2"/>
      </rPr>
      <t xml:space="preserve"> l´ =  </t>
    </r>
  </si>
  <si>
    <t xml:space="preserve"> Eine Rakete der Länge l = </t>
  </si>
  <si>
    <r>
      <rPr>
        <b/>
        <sz val="10"/>
        <color rgb="FF002060"/>
        <rFont val="Arial"/>
        <family val="2"/>
      </rPr>
      <t>Zahlen-Beispiel:</t>
    </r>
    <r>
      <rPr>
        <sz val="10"/>
        <color rgb="FF002060"/>
        <rFont val="Arial"/>
        <family val="2"/>
      </rPr>
      <t xml:space="preserve"> Verhältnis Relativ- zur Lichtgeschwindigkeit: </t>
    </r>
    <r>
      <rPr>
        <b/>
        <sz val="11"/>
        <color rgb="FF002060"/>
        <rFont val="Calibri"/>
        <family val="2"/>
      </rPr>
      <t>β</t>
    </r>
    <r>
      <rPr>
        <b/>
        <sz val="10"/>
        <color rgb="FF002060"/>
        <rFont val="Arial"/>
        <family val="2"/>
      </rPr>
      <t xml:space="preserve"> = 0,25</t>
    </r>
  </si>
  <si>
    <r>
      <t xml:space="preserve">                                       </t>
    </r>
    <r>
      <rPr>
        <b/>
        <sz val="10"/>
        <color rgb="FF002060"/>
        <rFont val="Arial"/>
        <family val="2"/>
      </rPr>
      <t>Masse:</t>
    </r>
    <r>
      <rPr>
        <sz val="10"/>
        <color rgb="FF002060"/>
        <rFont val="Arial"/>
        <family val="2"/>
      </rPr>
      <t xml:space="preserve">          </t>
    </r>
    <r>
      <rPr>
        <b/>
        <sz val="12"/>
        <color theme="9" tint="-0.249977111117893"/>
        <rFont val="Arial"/>
        <family val="2"/>
      </rPr>
      <t>m1</t>
    </r>
    <r>
      <rPr>
        <sz val="10"/>
        <color rgb="FF002060"/>
        <rFont val="Arial"/>
        <family val="2"/>
      </rPr>
      <t xml:space="preserve"> (z. B. Elekron)  / </t>
    </r>
    <r>
      <rPr>
        <b/>
        <sz val="12"/>
        <color theme="6" tint="-0.249977111117893"/>
        <rFont val="Arial"/>
        <family val="2"/>
      </rPr>
      <t>m2</t>
    </r>
    <r>
      <rPr>
        <sz val="10"/>
        <color rgb="FF002060"/>
        <rFont val="Arial"/>
        <family val="2"/>
      </rPr>
      <t xml:space="preserve"> (z. B. Proton)</t>
    </r>
  </si>
  <si>
    <t>Radius der Elektronenbahn:</t>
  </si>
  <si>
    <t>Grafik: allmystery.de</t>
  </si>
  <si>
    <t>Längenkontraktion</t>
  </si>
  <si>
    <t>Geschwindigkeit des "bewegten" Systems S´(Zug):</t>
  </si>
  <si>
    <t xml:space="preserve"> Geschwindigkeit Objekt (A) im "bewegten" System S´:</t>
  </si>
  <si>
    <t xml:space="preserve"> &gt; -273,15 °C), gibt elektromagnetische Strahlung an die Umgebung ab. Bei Tem-</t>
  </si>
  <si>
    <t>höheren Temperaturen kommt noch sichbares Licht hinzu (z.B. glühendes Metall).</t>
  </si>
  <si>
    <t xml:space="preserve">tem im Gleichgewicht. Das einfallende Licht wird </t>
  </si>
  <si>
    <t>Wände und Hohlraum (Luft od. Vak.) werden auf</t>
  </si>
  <si>
    <t>(Relativ-) Bewegung bis ans Tempolimit</t>
  </si>
  <si>
    <r>
      <t>Up-Quark (</t>
    </r>
    <r>
      <rPr>
        <b/>
        <sz val="12"/>
        <color theme="1"/>
        <rFont val="Arial"/>
        <family val="2"/>
      </rPr>
      <t>u</t>
    </r>
    <r>
      <rPr>
        <sz val="11"/>
        <color theme="1"/>
        <rFont val="Arial"/>
        <family val="2"/>
      </rPr>
      <t>):</t>
    </r>
  </si>
  <si>
    <r>
      <t>Charm-Quark (</t>
    </r>
    <r>
      <rPr>
        <b/>
        <sz val="12"/>
        <color theme="1"/>
        <rFont val="Arial"/>
        <family val="2"/>
      </rPr>
      <t>c</t>
    </r>
    <r>
      <rPr>
        <sz val="11"/>
        <color theme="1"/>
        <rFont val="Arial"/>
        <family val="2"/>
      </rPr>
      <t>):</t>
    </r>
  </si>
  <si>
    <r>
      <t>Top-Quark (</t>
    </r>
    <r>
      <rPr>
        <b/>
        <sz val="12"/>
        <color theme="1"/>
        <rFont val="Arial"/>
        <family val="2"/>
      </rPr>
      <t>t</t>
    </r>
    <r>
      <rPr>
        <sz val="11"/>
        <color theme="1"/>
        <rFont val="Arial"/>
        <family val="2"/>
      </rPr>
      <t>):</t>
    </r>
  </si>
  <si>
    <r>
      <t>Down-Quark (</t>
    </r>
    <r>
      <rPr>
        <b/>
        <sz val="12"/>
        <color theme="1"/>
        <rFont val="Arial"/>
        <family val="2"/>
      </rPr>
      <t>d</t>
    </r>
    <r>
      <rPr>
        <sz val="11"/>
        <color theme="1"/>
        <rFont val="Arial"/>
        <family val="2"/>
      </rPr>
      <t>):</t>
    </r>
  </si>
  <si>
    <r>
      <t>Strange-Quark (</t>
    </r>
    <r>
      <rPr>
        <b/>
        <sz val="12"/>
        <color theme="1"/>
        <rFont val="Arial"/>
        <family val="2"/>
      </rPr>
      <t>s</t>
    </r>
    <r>
      <rPr>
        <sz val="11"/>
        <color theme="1"/>
        <rFont val="Arial"/>
        <family val="2"/>
      </rPr>
      <t>):</t>
    </r>
  </si>
  <si>
    <r>
      <t>Bottom-Quark (</t>
    </r>
    <r>
      <rPr>
        <b/>
        <sz val="12"/>
        <color theme="1"/>
        <rFont val="Arial"/>
        <family val="2"/>
      </rPr>
      <t>b</t>
    </r>
    <r>
      <rPr>
        <sz val="11"/>
        <color theme="1"/>
        <rFont val="Arial"/>
        <family val="2"/>
      </rPr>
      <t>):</t>
    </r>
  </si>
  <si>
    <r>
      <t xml:space="preserve">Elektron-Neutrino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Calibri"/>
        <family val="2"/>
      </rPr>
      <t>ν</t>
    </r>
    <r>
      <rPr>
        <b/>
        <vertAlign val="sub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>:</t>
    </r>
  </si>
  <si>
    <r>
      <t>Myon-Neutrino</t>
    </r>
    <r>
      <rPr>
        <sz val="12"/>
        <color theme="1"/>
        <rFont val="Arial"/>
        <family val="2"/>
      </rPr>
      <t xml:space="preserve"> (</t>
    </r>
    <r>
      <rPr>
        <b/>
        <sz val="12"/>
        <color theme="1"/>
        <rFont val="Calibri"/>
        <family val="2"/>
      </rPr>
      <t>ν</t>
    </r>
    <r>
      <rPr>
        <b/>
        <vertAlign val="subscript"/>
        <sz val="12"/>
        <color theme="1"/>
        <rFont val="Calibri"/>
        <family val="2"/>
      </rPr>
      <t>μ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</t>
    </r>
  </si>
  <si>
    <r>
      <t xml:space="preserve">Tau-Neutrino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Calibri"/>
        <family val="2"/>
      </rPr>
      <t>ν</t>
    </r>
    <r>
      <rPr>
        <b/>
        <vertAlign val="subscript"/>
        <sz val="12"/>
        <color theme="1"/>
        <rFont val="Calibri"/>
        <family val="2"/>
      </rPr>
      <t>τ</t>
    </r>
    <r>
      <rPr>
        <sz val="12"/>
        <color theme="1"/>
        <rFont val="Arial"/>
        <family val="2"/>
      </rPr>
      <t>):</t>
    </r>
  </si>
  <si>
    <r>
      <t>Elektron (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):</t>
    </r>
  </si>
  <si>
    <r>
      <t xml:space="preserve">Myon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Calibri"/>
        <family val="2"/>
      </rPr>
      <t>μ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</t>
    </r>
  </si>
  <si>
    <r>
      <t xml:space="preserve">Tau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Calibri"/>
        <family val="2"/>
      </rPr>
      <t>τ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</t>
    </r>
  </si>
  <si>
    <r>
      <t xml:space="preserve">  Photon (</t>
    </r>
    <r>
      <rPr>
        <b/>
        <sz val="12"/>
        <color theme="1"/>
        <rFont val="Calibri"/>
        <family val="2"/>
      </rPr>
      <t>γ</t>
    </r>
    <r>
      <rPr>
        <sz val="11"/>
        <color theme="1"/>
        <rFont val="Arial"/>
        <family val="2"/>
      </rPr>
      <t>):</t>
    </r>
  </si>
  <si>
    <r>
      <t xml:space="preserve">Gluon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g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</t>
    </r>
  </si>
  <si>
    <r>
      <t xml:space="preserve">Z-Boson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z</t>
    </r>
    <r>
      <rPr>
        <b/>
        <vertAlign val="superscript"/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  </t>
    </r>
  </si>
  <si>
    <r>
      <t xml:space="preserve">W-Boson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W</t>
    </r>
    <r>
      <rPr>
        <b/>
        <vertAlign val="superscript"/>
        <sz val="12"/>
        <color theme="1"/>
        <rFont val="Arial"/>
        <family val="2"/>
      </rPr>
      <t>±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  </t>
    </r>
  </si>
  <si>
    <r>
      <t xml:space="preserve">Graviton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G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:  </t>
    </r>
  </si>
  <si>
    <r>
      <t xml:space="preserve"> Higgs-Teilchen </t>
    </r>
    <r>
      <rPr>
        <sz val="12"/>
        <color theme="1"/>
        <rFont val="Arial"/>
        <family val="2"/>
      </rPr>
      <t>(</t>
    </r>
    <r>
      <rPr>
        <b/>
        <sz val="12"/>
        <color theme="1"/>
        <rFont val="Arial"/>
        <family val="2"/>
      </rPr>
      <t>H</t>
    </r>
    <r>
      <rPr>
        <b/>
        <vertAlign val="superscript"/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)</t>
    </r>
    <r>
      <rPr>
        <sz val="11"/>
        <color theme="1"/>
        <rFont val="Arial"/>
        <family val="2"/>
      </rPr>
      <t>:</t>
    </r>
  </si>
  <si>
    <t>Grafik: particleadventure.org</t>
  </si>
  <si>
    <t>GUT Grand Unified Theory = Große Vereinheitlichte Theorie</t>
  </si>
  <si>
    <t>Reichweite</t>
  </si>
  <si>
    <t>Stärke</t>
  </si>
  <si>
    <r>
      <t xml:space="preserve">Starke Wechselwirkung </t>
    </r>
    <r>
      <rPr>
        <b/>
        <sz val="11"/>
        <color rgb="FFFF0000"/>
        <rFont val="Calibri"/>
        <family val="2"/>
      </rPr>
      <t>→</t>
    </r>
    <r>
      <rPr>
        <b/>
        <sz val="11"/>
        <color rgb="FFFF0000"/>
        <rFont val="Arial"/>
        <family val="2"/>
      </rPr>
      <t xml:space="preserve"> starke Kernkraft:</t>
    </r>
  </si>
  <si>
    <r>
      <t xml:space="preserve">Elektromagnetische Wechselwirkung </t>
    </r>
    <r>
      <rPr>
        <b/>
        <sz val="11"/>
        <color rgb="FF0070C0"/>
        <rFont val="Calibri"/>
        <family val="2"/>
      </rPr>
      <t>→</t>
    </r>
    <r>
      <rPr>
        <b/>
        <sz val="11"/>
        <color rgb="FF0070C0"/>
        <rFont val="Arial"/>
        <family val="2"/>
      </rPr>
      <t xml:space="preserve"> elektromagnetische Kraft:</t>
    </r>
  </si>
  <si>
    <r>
      <t xml:space="preserve">Schwache Wechselwirkung </t>
    </r>
    <r>
      <rPr>
        <b/>
        <sz val="11"/>
        <color theme="6"/>
        <rFont val="Calibri"/>
        <family val="2"/>
      </rPr>
      <t>→</t>
    </r>
    <r>
      <rPr>
        <b/>
        <sz val="11"/>
        <color theme="6"/>
        <rFont val="Arial"/>
        <family val="2"/>
      </rPr>
      <t xml:space="preserve"> schwache Kernkraft:</t>
    </r>
  </si>
  <si>
    <r>
      <t xml:space="preserve">Gravitation </t>
    </r>
    <r>
      <rPr>
        <b/>
        <sz val="11"/>
        <color theme="1"/>
        <rFont val="Calibri"/>
        <family val="2"/>
      </rPr>
      <t>→</t>
    </r>
    <r>
      <rPr>
        <b/>
        <sz val="11"/>
        <color theme="1"/>
        <rFont val="Arial"/>
        <family val="2"/>
      </rPr>
      <t xml:space="preserve"> Schwerkraft:</t>
    </r>
  </si>
  <si>
    <t>Boten- bzw. Austauchteilchen</t>
  </si>
  <si>
    <t>Resümee</t>
  </si>
  <si>
    <t>aus der</t>
  </si>
  <si>
    <r>
      <t xml:space="preserve">Stärke und Reichweite der </t>
    </r>
    <r>
      <rPr>
        <b/>
        <u/>
        <sz val="11"/>
        <color rgb="FF002060"/>
        <rFont val="Arial"/>
        <family val="2"/>
      </rPr>
      <t>vier</t>
    </r>
    <r>
      <rPr>
        <b/>
        <sz val="11"/>
        <color rgb="FF002060"/>
        <rFont val="Arial"/>
        <family val="2"/>
      </rPr>
      <t xml:space="preserve"> fundamentalen Wechselwirkungen im Vergleich</t>
    </r>
  </si>
  <si>
    <t>↑</t>
  </si>
  <si>
    <r>
      <t>f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= </t>
    </r>
  </si>
  <si>
    <t xml:space="preserve">                  →</t>
  </si>
  <si>
    <r>
      <rPr>
        <b/>
        <u/>
        <sz val="11"/>
        <color rgb="FF002060"/>
        <rFont val="Arial"/>
        <family val="2"/>
      </rPr>
      <t>Impuls</t>
    </r>
    <r>
      <rPr>
        <b/>
        <sz val="10"/>
        <color theme="1"/>
        <rFont val="Arial"/>
        <family val="2"/>
      </rPr>
      <t xml:space="preserve">              Klassische Mechanik:</t>
    </r>
  </si>
  <si>
    <r>
      <rPr>
        <b/>
        <u/>
        <sz val="11"/>
        <color rgb="FF002060"/>
        <rFont val="Arial"/>
        <family val="2"/>
      </rPr>
      <t>Energie</t>
    </r>
    <r>
      <rPr>
        <sz val="10"/>
        <color theme="1"/>
        <rFont val="Arial"/>
        <family val="2"/>
      </rPr>
      <t xml:space="preserve">                      Ruheenergie:</t>
    </r>
  </si>
  <si>
    <r>
      <t>I (</t>
    </r>
    <r>
      <rPr>
        <sz val="11"/>
        <color theme="1"/>
        <rFont val="Calibri"/>
        <family val="2"/>
      </rPr>
      <t>λ</t>
    </r>
    <r>
      <rPr>
        <sz val="11"/>
        <color theme="1"/>
        <rFont val="Arial"/>
        <family val="2"/>
      </rPr>
      <t>, T) =</t>
    </r>
  </si>
  <si>
    <r>
      <t>Ein Inertialsystem (inert, lat.: untätig, träge) ist ein spezielles Bezugssystem und dient der Beschreibung von</t>
    </r>
    <r>
      <rPr>
        <b/>
        <sz val="10"/>
        <rFont val="Arial"/>
        <family val="2"/>
      </rPr>
      <t xml:space="preserve"> geradlinig</t>
    </r>
    <r>
      <rPr>
        <sz val="10"/>
        <rFont val="Arial"/>
        <family val="2"/>
      </rPr>
      <t xml:space="preserve"> verlaufenden </t>
    </r>
    <r>
      <rPr>
        <b/>
        <sz val="10"/>
        <rFont val="Arial"/>
        <family val="2"/>
      </rPr>
      <t>gleichförmigen</t>
    </r>
    <r>
      <rPr>
        <sz val="10"/>
        <rFont val="Arial"/>
        <family val="2"/>
      </rPr>
      <t xml:space="preserve"> Bewegungen von Gegen-</t>
    </r>
  </si>
  <si>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von seiner Temperatur abhängt. Seine Wärmestrahlung ist, bei gleichgroßer </t>
    </r>
  </si>
  <si>
    <r>
      <t>m</t>
    </r>
    <r>
      <rPr>
        <vertAlign val="subscript"/>
        <sz val="11"/>
        <color rgb="FF002060"/>
        <rFont val="Arial"/>
        <family val="2"/>
      </rPr>
      <t>erel</t>
    </r>
    <r>
      <rPr>
        <sz val="11"/>
        <color rgb="FF002060"/>
        <rFont val="Arial"/>
        <family val="2"/>
      </rPr>
      <t xml:space="preserve"> =</t>
    </r>
  </si>
  <si>
    <r>
      <rPr>
        <b/>
        <sz val="11"/>
        <color rgb="FF002060"/>
        <rFont val="Arial"/>
        <family val="2"/>
      </rPr>
      <t>Materie-Welle</t>
    </r>
    <r>
      <rPr>
        <sz val="11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der Wellenlänge</t>
    </r>
    <r>
      <rPr>
        <sz val="11"/>
        <color rgb="FF002060"/>
        <rFont val="Arial"/>
        <family val="2"/>
      </rPr>
      <t xml:space="preserve">                                  </t>
    </r>
    <r>
      <rPr>
        <b/>
        <sz val="10"/>
        <color rgb="FF002060"/>
        <rFont val="Arial"/>
        <family val="2"/>
      </rPr>
      <t>mit</t>
    </r>
    <r>
      <rPr>
        <sz val="11"/>
        <color rgb="FF002060"/>
        <rFont val="Arial"/>
        <family val="2"/>
      </rPr>
      <t xml:space="preserve"> </t>
    </r>
  </si>
  <si>
    <t>Anmerkung:                  (sprich h quer) ist das reduzierte Plancksche Quantum.</t>
  </si>
  <si>
    <t xml:space="preserve">Bahndrehimpuls L des Elektrons        </t>
  </si>
  <si>
    <t>Da die Aufenthaltswahrscheinlichkeit des Elektrons mit dem Abstand zum Atomkern asymtotisch gegen 0 geht, wählt man als Begrenzung des Orbitals die Fläche,</t>
  </si>
  <si>
    <r>
      <t xml:space="preserve">innerhalb der sich das Elektron mit </t>
    </r>
    <r>
      <rPr>
        <b/>
        <sz val="11"/>
        <color theme="1"/>
        <rFont val="Arial"/>
        <family val="2"/>
      </rPr>
      <t>90 %iger Wahrscheinlichkeit</t>
    </r>
    <r>
      <rPr>
        <sz val="11"/>
        <color theme="1"/>
        <rFont val="Arial"/>
        <family val="2"/>
      </rPr>
      <t xml:space="preserve"> aufhält bzw. die </t>
    </r>
    <r>
      <rPr>
        <b/>
        <sz val="11"/>
        <color theme="1"/>
        <rFont val="Arial"/>
        <family val="2"/>
      </rPr>
      <t>90 % der Elektonenladung</t>
    </r>
    <r>
      <rPr>
        <sz val="11"/>
        <color theme="1"/>
        <rFont val="Arial"/>
        <family val="2"/>
      </rPr>
      <t xml:space="preserve"> enthält. Entlang dieser Fläche hat die Orbitalam-</t>
    </r>
  </si>
  <si>
    <t>plitude einen konstanten Wert. Man erhält so Räume, die ungefähr der Größe des Atoms entsprechen.</t>
  </si>
  <si>
    <t xml:space="preserve">Mit Teilchenbeschleunigern (CERN, ...) gelang es immer tiefer in die Struktur der Materie vorzudringen. So stellte man fest, dass nicht Protonen, Neutronen und </t>
  </si>
  <si>
    <t xml:space="preserve">Enstsprechend sehen Teilchen mit höherem Spin wieder gleich aus, wenn man sie </t>
  </si>
  <si>
    <t>um kleinere Bruchteile einer vollstädigen Umdrehung dreht.</t>
  </si>
  <si>
    <t>Neben- oder Bahndrehimpuls-Quantenzahl</t>
  </si>
  <si>
    <r>
      <rPr>
        <b/>
        <sz val="11"/>
        <color rgb="FF002060"/>
        <rFont val="Arial"/>
        <family val="2"/>
      </rPr>
      <t>x-, y-, z-Richtung</t>
    </r>
    <r>
      <rPr>
        <sz val="11"/>
        <color rgb="FF002060"/>
        <rFont val="Arial"/>
        <family val="2"/>
      </rPr>
      <t>, die es annimmt, wenn ein äußeres</t>
    </r>
  </si>
  <si>
    <r>
      <t>Bestimmt die</t>
    </r>
    <r>
      <rPr>
        <b/>
        <sz val="11"/>
        <color rgb="FF002060"/>
        <rFont val="Arial"/>
        <family val="2"/>
      </rPr>
      <t xml:space="preserve"> räumliche Ausrichtung</t>
    </r>
    <r>
      <rPr>
        <sz val="11"/>
        <color rgb="FF002060"/>
        <rFont val="Arial"/>
        <family val="2"/>
      </rPr>
      <t xml:space="preserve"> des Orbitals in </t>
    </r>
  </si>
  <si>
    <t>Magnetfeld angelegt wird.</t>
  </si>
  <si>
    <t>Δ T =</t>
  </si>
  <si>
    <r>
      <rPr>
        <b/>
        <sz val="11"/>
        <color rgb="FF002060"/>
        <rFont val="Arial"/>
        <family val="2"/>
      </rPr>
      <t>Myonen</t>
    </r>
    <r>
      <rPr>
        <sz val="10"/>
        <color rgb="FF002060"/>
        <rFont val="Arial"/>
        <family val="2"/>
      </rPr>
      <t xml:space="preserve"> (Elementarteilchen: Ladung q = -1 e, Ruhemasse m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105,7 MeV / Spin s = 1/2  / siehe auch Tabelle Atomphysik Seite 9).</t>
    </r>
  </si>
  <si>
    <t xml:space="preserve">Halbwertszeiten betragen von μs </t>
  </si>
  <si>
    <r>
      <t xml:space="preserve">bis zu 1,405 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 xml:space="preserve"> 10</t>
    </r>
    <r>
      <rPr>
        <vertAlign val="superscript"/>
        <sz val="11"/>
        <color theme="1"/>
        <rFont val="Arial"/>
        <family val="2"/>
      </rPr>
      <t>10</t>
    </r>
    <r>
      <rPr>
        <sz val="11"/>
        <color theme="1"/>
        <rFont val="Arial"/>
        <family val="2"/>
      </rPr>
      <t xml:space="preserve"> Jahre (Th 232).</t>
    </r>
  </si>
  <si>
    <t xml:space="preserve">    Antwort:</t>
  </si>
  <si>
    <r>
      <t>Teilchen ist wie ein Pfeil mit 2 Spitzen am Ende</t>
    </r>
    <r>
      <rPr>
        <sz val="11"/>
        <rFont val="Arial"/>
        <family val="2"/>
      </rPr>
      <t xml:space="preserve"> </t>
    </r>
    <r>
      <rPr>
        <b/>
        <sz val="11"/>
        <color rgb="FF002060"/>
        <rFont val="Calibri"/>
        <family val="2"/>
      </rPr>
      <t>↕</t>
    </r>
    <r>
      <rPr>
        <sz val="11"/>
        <color theme="1"/>
        <rFont val="Arial"/>
        <family val="2"/>
      </rPr>
      <t xml:space="preserve"> . Es sieht nach einer halben Um- </t>
    </r>
  </si>
  <si>
    <t>Teilchen mit Spin 1/2 sehen erst nach 2 Umdrehungen wieder gleich aus.</t>
  </si>
  <si>
    <r>
      <t xml:space="preserve">haben. Wenn sie dennnoch weitgehend die gleiche Position einnehmen (die Up-Quarks also </t>
    </r>
    <r>
      <rPr>
        <b/>
        <sz val="11"/>
        <color theme="1"/>
        <rFont val="Arial"/>
        <family val="2"/>
      </rPr>
      <t>sehr nahe</t>
    </r>
    <r>
      <rPr>
        <sz val="11"/>
        <color theme="1"/>
        <rFont val="Arial"/>
        <family val="2"/>
      </rPr>
      <t xml:space="preserve"> beieinander sind), müssen sie sich mit unterschiedlichen </t>
    </r>
  </si>
  <si>
    <t xml:space="preserve">Geschwindigkeiten bewegen, damit sie nicht lange in der gleichen Position verbleiben. </t>
  </si>
  <si>
    <t xml:space="preserve">Rückstoß verändert die Geschwindigkeit des Materieteilchens. Das emittierte Kräfteteilchen kollidiert mit einem anderen Materieteilchen und wird absorbiert. Die </t>
  </si>
  <si>
    <t xml:space="preserve">bewirkt werden. Dabei wird ein kräftetragendes Teilchen (z. B. Photon) von einem Materieteilchen (z. B. Elektron) emittiert. Der durch die Emission ausgelöste </t>
  </si>
  <si>
    <r>
      <t xml:space="preserve">Eine wichtige Eigenschaft der Kräfteteilchen ist, dass sie dem Auschließungsprinzíp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unterliegen. Somit könnnen sie in unbegrenzter Anzahl ausgetauscht </t>
    </r>
  </si>
  <si>
    <t xml:space="preserve">direkt mit einem Teilchendektor gemessen werden können. Es gibt sie aber, denn sie haben einen messbaren Effekt: Sie lösen die Kräfte aus, die zwischen den </t>
  </si>
  <si>
    <t>Materieteilchen wirksam sind. Auch Kräfteteilchen (Spin 0, 1 oder 2) kommen als wirkliche Teilchen vor, die sich direkt messen lassen. Sie erscheinen dann als</t>
  </si>
  <si>
    <t xml:space="preserve">Elektomagnetische Welle (Licht). So ist z. B. die coulombsche Abstoßung von 2 Elektronen auf den Austausch von virtuellen Photonen (nicht direkt beobachbar </t>
  </si>
  <si>
    <t>oder dedektierbar) zurückzuführen. Bewegt sich aber ein Elektron an einem anderen vorbei, können reale Photonen in Form von Licht wahrgenommen werden.</t>
  </si>
  <si>
    <r>
      <t xml:space="preserve">Gravitation / Schwerkraft  </t>
    </r>
    <r>
      <rPr>
        <b/>
        <sz val="11"/>
        <color rgb="FF002060"/>
        <rFont val="Calibri"/>
        <family val="2"/>
      </rPr>
      <t xml:space="preserve">→  </t>
    </r>
    <r>
      <rPr>
        <b/>
        <u/>
        <sz val="11"/>
        <color rgb="FF002060"/>
        <rFont val="Arial"/>
        <family val="2"/>
      </rPr>
      <t>Graviton</t>
    </r>
    <r>
      <rPr>
        <b/>
        <sz val="11"/>
        <color rgb="FF002060"/>
        <rFont val="Arial"/>
        <family val="2"/>
      </rPr>
      <t xml:space="preserve">:  </t>
    </r>
  </si>
  <si>
    <r>
      <t xml:space="preserve">Elektromagnetische Kraft /- Wechselwirkung  </t>
    </r>
    <r>
      <rPr>
        <b/>
        <sz val="11"/>
        <color rgb="FF002060"/>
        <rFont val="Calibri"/>
        <family val="2"/>
      </rPr>
      <t>→</t>
    </r>
    <r>
      <rPr>
        <b/>
        <sz val="11"/>
        <color rgb="FF002060"/>
        <rFont val="Arial"/>
        <family val="2"/>
      </rPr>
      <t xml:space="preserve">  </t>
    </r>
    <r>
      <rPr>
        <b/>
        <u/>
        <sz val="11"/>
        <color rgb="FF002060"/>
        <rFont val="Arial"/>
        <family val="2"/>
      </rPr>
      <t>Photon</t>
    </r>
    <r>
      <rPr>
        <b/>
        <sz val="11"/>
        <color rgb="FF002060"/>
        <rFont val="Arial"/>
        <family val="2"/>
      </rPr>
      <t>:</t>
    </r>
  </si>
  <si>
    <r>
      <t xml:space="preserve"> Schwache Kernkraft / - Wechselwirkung  </t>
    </r>
    <r>
      <rPr>
        <b/>
        <sz val="11"/>
        <color rgb="FF002060"/>
        <rFont val="Calibri"/>
        <family val="2"/>
      </rPr>
      <t>→</t>
    </r>
    <r>
      <rPr>
        <b/>
        <sz val="11"/>
        <color rgb="FF002060"/>
        <rFont val="Arial"/>
        <family val="2"/>
      </rPr>
      <t xml:space="preserve">  </t>
    </r>
    <r>
      <rPr>
        <b/>
        <u/>
        <sz val="11"/>
        <color rgb="FF002060"/>
        <rFont val="Arial"/>
        <family val="2"/>
      </rPr>
      <t>Z</t>
    </r>
    <r>
      <rPr>
        <b/>
        <u/>
        <vertAlign val="superscript"/>
        <sz val="11"/>
        <color rgb="FF002060"/>
        <rFont val="Arial"/>
        <family val="2"/>
      </rPr>
      <t>0</t>
    </r>
    <r>
      <rPr>
        <b/>
        <u/>
        <sz val="11"/>
        <color rgb="FF002060"/>
        <rFont val="Arial"/>
        <family val="2"/>
      </rPr>
      <t>-,W</t>
    </r>
    <r>
      <rPr>
        <b/>
        <u/>
        <vertAlign val="superscript"/>
        <sz val="11"/>
        <color rgb="FF002060"/>
        <rFont val="Arial"/>
        <family val="2"/>
      </rPr>
      <t>±</t>
    </r>
    <r>
      <rPr>
        <b/>
        <u/>
        <sz val="11"/>
        <color rgb="FF002060"/>
        <rFont val="Arial"/>
        <family val="2"/>
      </rPr>
      <t xml:space="preserve"> - Boson</t>
    </r>
    <r>
      <rPr>
        <b/>
        <sz val="11"/>
        <color rgb="FF002060"/>
        <rFont val="Arial"/>
        <family val="2"/>
      </rPr>
      <t>:</t>
    </r>
  </si>
  <si>
    <r>
      <t xml:space="preserve">Starke Kernkraft / - Wechselwirkung  </t>
    </r>
    <r>
      <rPr>
        <b/>
        <sz val="11"/>
        <color rgb="FF002060"/>
        <rFont val="Calibri"/>
        <family val="2"/>
      </rPr>
      <t>→</t>
    </r>
    <r>
      <rPr>
        <b/>
        <sz val="11"/>
        <color rgb="FF002060"/>
        <rFont val="Arial"/>
        <family val="2"/>
      </rPr>
      <t xml:space="preserve">  </t>
    </r>
    <r>
      <rPr>
        <b/>
        <u/>
        <sz val="11"/>
        <color rgb="FF002060"/>
        <rFont val="Arial"/>
        <family val="2"/>
      </rPr>
      <t>Gluon</t>
    </r>
    <r>
      <rPr>
        <b/>
        <sz val="11"/>
        <color rgb="FF002060"/>
        <rFont val="Arial"/>
        <family val="2"/>
      </rPr>
      <t>:</t>
    </r>
  </si>
  <si>
    <t xml:space="preserve">(+ + ; - -). Man stellt sich vor, dass die elektromagnetische Kraft durch Austausch </t>
  </si>
  <si>
    <r>
      <t xml:space="preserve">von </t>
    </r>
    <r>
      <rPr>
        <u/>
        <sz val="11"/>
        <color rgb="FF002060"/>
        <rFont val="Arial"/>
        <family val="2"/>
      </rPr>
      <t>virtuellen</t>
    </r>
    <r>
      <rPr>
        <sz val="11"/>
        <color rgb="FF002060"/>
        <rFont val="Arial"/>
        <family val="2"/>
      </rPr>
      <t xml:space="preserve"> Photonen bewirkt wird. Bei einem Bahnwechsel eines Elektrons im </t>
    </r>
  </si>
  <si>
    <r>
      <t xml:space="preserve">Atom wird aber ein </t>
    </r>
    <r>
      <rPr>
        <u/>
        <sz val="11"/>
        <color rgb="FF002060"/>
        <rFont val="Arial"/>
        <family val="2"/>
      </rPr>
      <t>reales</t>
    </r>
    <r>
      <rPr>
        <sz val="11"/>
        <color rgb="FF002060"/>
        <rFont val="Arial"/>
        <family val="2"/>
      </rPr>
      <t xml:space="preserve"> Photon emittiert/absorbiert. Die Reichweite ist unendlich.</t>
    </r>
  </si>
  <si>
    <r>
      <t xml:space="preserve">Elektronen die kleinsten Bausteine der Materie sind, sondern </t>
    </r>
    <r>
      <rPr>
        <b/>
        <sz val="11"/>
        <color rgb="FF002060"/>
        <rFont val="Arial"/>
        <family val="2"/>
      </rPr>
      <t>Quarks</t>
    </r>
    <r>
      <rPr>
        <sz val="11"/>
        <color theme="1"/>
        <rFont val="Arial"/>
        <family val="2"/>
      </rPr>
      <t xml:space="preserve"> und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Leptonen</t>
    </r>
    <r>
      <rPr>
        <sz val="11"/>
        <color theme="1"/>
        <rFont val="Arial"/>
        <family val="2"/>
      </rPr>
      <t>. Mit Ausnahme des Elektrons, das weiterhin als elementar angesehen wird</t>
    </r>
  </si>
  <si>
    <t>die Materie aufgebaut ist (Enrico Fermi, italienischer Physiker, 1901 -1954).</t>
  </si>
  <si>
    <t>und zu den Leptonen zählt, bestehen Protonen und Neutronen aus Quarks. Aus den Erkenntnissen von Teilchenkollisionen erstellte der amerikanische Physiker</t>
  </si>
  <si>
    <t xml:space="preserve">Murray Gell-Mann das Standardmodell der Struktur der Materie (Nobel-Preis 1969). Danach gehören Leptonen u. Quarks zur Gruppe der Fermionen, aus denen </t>
  </si>
  <si>
    <t>Grundsätzlich haben Elementarteilchen drei verschiedene Eigenschaften:</t>
  </si>
  <si>
    <t>1. In 10.000 m Flughöhe gehen die Uhren an Bord schneller als die Uhr am Erdboden, die Bewegung der Uhren selbst aber verlangsamt sie.</t>
  </si>
  <si>
    <t>2. Da sich die Uhr am Boden mit der Erdrotation bewegt, muss zudem berücksichtigt werden, dass die Bodenuhren beim Westflug den Uhren</t>
  </si>
  <si>
    <t xml:space="preserve">    an Bord hinterherläuft und ihnen beim Ostflug vorauseilt.</t>
  </si>
  <si>
    <t xml:space="preserve">In der Realität sind solche Reisen für massenbehaftete Objekte nicht möglich, da mit der Zunahme </t>
  </si>
  <si>
    <r>
      <t xml:space="preserve">Zeit für die Beschleunigungs-/Brems-Phase (Sicht </t>
    </r>
    <r>
      <rPr>
        <b/>
        <sz val="11"/>
        <color theme="1"/>
        <rFont val="Arial"/>
        <family val="2"/>
      </rPr>
      <t>Rakete</t>
    </r>
    <r>
      <rPr>
        <sz val="11"/>
        <color theme="1"/>
        <rFont val="Arial"/>
        <family val="2"/>
      </rPr>
      <t>):</t>
    </r>
  </si>
  <si>
    <r>
      <t xml:space="preserve">Zeit für die Beschleunigungs-/Brems-Phase (Sicht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>):</t>
    </r>
  </si>
  <si>
    <t xml:space="preserve">    Blitz B     </t>
  </si>
  <si>
    <t xml:space="preserve">                                                                                 Blitz A       </t>
  </si>
  <si>
    <r>
      <t xml:space="preserve">Frage: </t>
    </r>
    <r>
      <rPr>
        <sz val="10"/>
        <rFont val="Arial"/>
        <family val="2"/>
      </rPr>
      <t xml:space="preserve">Wie nimmt die Crew der Raumstation bzw. des Raumschiffes das </t>
    </r>
  </si>
  <si>
    <r>
      <t xml:space="preserve">In </t>
    </r>
    <r>
      <rPr>
        <b/>
        <sz val="10"/>
        <rFont val="Arial"/>
        <family val="2"/>
      </rPr>
      <t xml:space="preserve">D </t>
    </r>
    <r>
      <rPr>
        <sz val="10"/>
        <rFont val="Arial"/>
        <family val="2"/>
      </rPr>
      <t xml:space="preserve">Lichtjahren von der Erde entfernt befindet sich ein Planet eines Sterns </t>
    </r>
  </si>
  <si>
    <t xml:space="preserve">in Ruhe zur Erde. In der Mitte zwischen den beiden Planeten (D/2) schwebt, </t>
  </si>
  <si>
    <r>
      <t xml:space="preserve">Lichtgeschwindigkeit passiert wird (Achtung: </t>
    </r>
    <r>
      <rPr>
        <b/>
        <sz val="10"/>
        <rFont val="Arial"/>
        <family val="2"/>
      </rPr>
      <t>β &lt; 1</t>
    </r>
    <r>
      <rPr>
        <sz val="10"/>
        <rFont val="Arial"/>
        <family val="2"/>
      </rPr>
      <t xml:space="preserve">). Genau zum Zeitpunkt </t>
    </r>
  </si>
  <si>
    <r>
      <t xml:space="preserve">ebenfalls ruhend, eine Raumstation, die von einem Raumschiff mit </t>
    </r>
    <r>
      <rPr>
        <b/>
        <sz val="10"/>
        <rFont val="Arial"/>
        <family val="2"/>
      </rPr>
      <t>β</t>
    </r>
    <r>
      <rPr>
        <sz val="10"/>
        <rFont val="Arial"/>
        <family val="2"/>
      </rPr>
      <t xml:space="preserve">-facher </t>
    </r>
  </si>
  <si>
    <t xml:space="preserve">des Vorbeiflugs werden von der Erde und dem Planeten die Blitze A und B </t>
  </si>
  <si>
    <t>zur Raumstation gesendet.</t>
  </si>
  <si>
    <r>
      <t xml:space="preserve">Geschehen, sprich die </t>
    </r>
    <r>
      <rPr>
        <b/>
        <sz val="10"/>
        <rFont val="Arial"/>
        <family val="2"/>
      </rPr>
      <t>Ereignisse</t>
    </r>
    <r>
      <rPr>
        <sz val="10"/>
        <rFont val="Arial"/>
        <family val="2"/>
      </rPr>
      <t>, wahr?</t>
    </r>
  </si>
  <si>
    <t xml:space="preserve">Sie sehen zuerst den Blitz B, da sie dessen Licht entgegen fliegen und erst </t>
  </si>
  <si>
    <t xml:space="preserve">später Blitz A, dessen Licht sie ja davon eilen. Ergo sind die Blitze A und B </t>
  </si>
  <si>
    <t xml:space="preserve">Die Lorentz-Transformation stellt die rechnerische Beziehung zwischen den Ortskoordinaten </t>
  </si>
  <si>
    <t xml:space="preserve">und der Zeitkoordinate eines Ereignisses bezüglich zweier Interialsysteme her, die sich zu- </t>
  </si>
  <si>
    <t xml:space="preserve">einander mit einer Relativgeschwindigkeit vom Betrag v = konst. bewegen. Sie ersetzt in der </t>
  </si>
  <si>
    <t>speziellen Relativitätstheorie die Galilei-Transformation, der auf Galilei und Newton zurückge-</t>
  </si>
  <si>
    <t>henden klassischen Mechanik.</t>
  </si>
  <si>
    <t xml:space="preserve">Die Lorentz-Transformation ist die Basis für die relativistische Kinematik und die relativistische </t>
  </si>
  <si>
    <t xml:space="preserve">Dynamik. Sie führt u. a. zu den Formeln für die relativistische Addition von Geschwindigkeiten,  </t>
  </si>
  <si>
    <t xml:space="preserve">für die Zeitdilatation, die Längenkontraktion, die relativistische Masse sowie die Äquivalenz von </t>
  </si>
  <si>
    <t>Masse und Energie mit der berühmten Formel E = m • c².</t>
  </si>
  <si>
    <r>
      <t>Bedingung: R</t>
    </r>
    <r>
      <rPr>
        <b/>
        <vertAlign val="subscript"/>
        <sz val="11"/>
        <color rgb="FFC00000"/>
        <rFont val="Arial"/>
        <family val="2"/>
      </rPr>
      <t>V</t>
    </r>
    <r>
      <rPr>
        <b/>
        <sz val="11"/>
        <color rgb="FFC00000"/>
        <rFont val="Arial"/>
        <family val="2"/>
      </rPr>
      <t xml:space="preserve"> &gt; R</t>
    </r>
    <r>
      <rPr>
        <b/>
        <vertAlign val="subscript"/>
        <sz val="11"/>
        <color rgb="FFC00000"/>
        <rFont val="Arial"/>
        <family val="2"/>
      </rPr>
      <t>S</t>
    </r>
  </si>
  <si>
    <r>
      <t>Länge des Objekts in % bezogen auf den Ursprungsradius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</si>
  <si>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r>
      <t>Länge des Objekts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(Ortslänge):</t>
    </r>
  </si>
  <si>
    <r>
      <t xml:space="preserve">Wellenlänge </t>
    </r>
    <r>
      <rPr>
        <b/>
        <sz val="11"/>
        <color rgb="FFC00000"/>
        <rFont val="Arial"/>
        <family val="2"/>
      </rPr>
      <t>abgestrahlter</t>
    </r>
    <r>
      <rPr>
        <sz val="11"/>
        <rFont val="Arial"/>
        <family val="2"/>
      </rPr>
      <t xml:space="preserve"> Licht-Wellen ins Weltall am Radius R</t>
    </r>
    <r>
      <rPr>
        <vertAlign val="subscript"/>
        <sz val="11"/>
        <rFont val="Arial"/>
        <family val="2"/>
      </rPr>
      <t>V</t>
    </r>
    <r>
      <rPr>
        <sz val="11"/>
        <rFont val="Arial"/>
        <family val="2"/>
      </rPr>
      <t>:</t>
    </r>
  </si>
  <si>
    <r>
      <t xml:space="preserve">Frequenz </t>
    </r>
    <r>
      <rPr>
        <b/>
        <sz val="11"/>
        <color rgb="FFC00000"/>
        <rFont val="Arial"/>
        <family val="2"/>
      </rPr>
      <t>abgestrahlter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Licht-Wellen ins Weltall am Radius R</t>
    </r>
    <r>
      <rPr>
        <vertAlign val="subscript"/>
        <sz val="11"/>
        <rFont val="Arial"/>
        <family val="2"/>
      </rPr>
      <t>V</t>
    </r>
    <r>
      <rPr>
        <sz val="11"/>
        <rFont val="Arial"/>
        <family val="2"/>
      </rPr>
      <t>:</t>
    </r>
  </si>
  <si>
    <r>
      <t>Zeit die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vergeht (Ortszeit):</t>
    </r>
  </si>
  <si>
    <r>
      <rPr>
        <b/>
        <sz val="12"/>
        <color rgb="FF002060"/>
        <rFont val="Arial"/>
        <family val="2"/>
      </rPr>
      <t xml:space="preserve">Faktor </t>
    </r>
    <r>
      <rPr>
        <sz val="10"/>
        <rFont val="Arial"/>
        <family val="2"/>
      </rPr>
      <t>(Gravitation am Radius 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)</t>
    </r>
    <r>
      <rPr>
        <b/>
        <sz val="10"/>
        <rFont val="Arial"/>
        <family val="2"/>
      </rPr>
      <t>:</t>
    </r>
  </si>
  <si>
    <r>
      <t>Fluchtgeschwindigkeit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</si>
  <si>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t>Gravitationskraft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</si>
  <si>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rPr>
        <sz val="12"/>
        <color theme="1"/>
        <rFont val="Calibri"/>
        <family val="2"/>
      </rPr>
      <t>Δ</t>
    </r>
    <r>
      <rPr>
        <sz val="11"/>
        <color theme="1"/>
        <rFont val="Arial"/>
        <family val="2"/>
      </rPr>
      <t>T</t>
    </r>
    <r>
      <rPr>
        <vertAlign val="subscript"/>
        <sz val="11"/>
        <color theme="1"/>
        <rFont val="Arial"/>
        <family val="2"/>
      </rPr>
      <t>O%</t>
    </r>
    <r>
      <rPr>
        <sz val="11"/>
        <color theme="1"/>
        <rFont val="Arial"/>
        <family val="2"/>
      </rPr>
      <t xml:space="preserve"> = </t>
    </r>
  </si>
  <si>
    <r>
      <rPr>
        <sz val="12"/>
        <color theme="1"/>
        <rFont val="Calibri"/>
        <family val="2"/>
      </rPr>
      <t>L</t>
    </r>
    <r>
      <rPr>
        <vertAlign val="subscript"/>
        <sz val="12"/>
        <color theme="1"/>
        <rFont val="Calibri"/>
        <family val="2"/>
      </rPr>
      <t>O</t>
    </r>
    <r>
      <rPr>
        <sz val="11"/>
        <color theme="1"/>
        <rFont val="Arial"/>
        <family val="2"/>
      </rPr>
      <t xml:space="preserve"> = </t>
    </r>
  </si>
  <si>
    <r>
      <rPr>
        <sz val="12"/>
        <color theme="1"/>
        <rFont val="Calibri"/>
        <family val="2"/>
      </rPr>
      <t>L</t>
    </r>
    <r>
      <rPr>
        <vertAlign val="subscript"/>
        <sz val="12"/>
        <color theme="1"/>
        <rFont val="Calibri"/>
        <family val="2"/>
      </rPr>
      <t>O%</t>
    </r>
    <r>
      <rPr>
        <sz val="11"/>
        <color theme="1"/>
        <rFont val="Arial"/>
        <family val="2"/>
      </rPr>
      <t xml:space="preserve"> = </t>
    </r>
  </si>
  <si>
    <r>
      <t>Zeitraum in % bezogen auf den Zeitraum am Ursprungsradius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</si>
  <si>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r>
      <rPr>
        <sz val="12"/>
        <color theme="1"/>
        <rFont val="Arial"/>
        <family val="2"/>
      </rPr>
      <t>λ</t>
    </r>
    <r>
      <rPr>
        <vertAlign val="subscript"/>
        <sz val="14"/>
        <color theme="1"/>
        <rFont val="Arial"/>
        <family val="2"/>
      </rPr>
      <t>∞%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</si>
  <si>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4"/>
        <color theme="1"/>
        <rFont val="Arial"/>
        <family val="2"/>
      </rPr>
      <t>∞%</t>
    </r>
    <r>
      <rPr>
        <sz val="11"/>
        <color theme="1"/>
        <rFont val="Arial"/>
        <family val="2"/>
      </rPr>
      <t xml:space="preserve"> = </t>
    </r>
  </si>
  <si>
    <r>
      <t>Fluchtgeschwindigkeit in % bezogen auf den Ursprungs-Radius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</si>
  <si>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r>
      <t xml:space="preserve">      </t>
    </r>
    <r>
      <rPr>
        <b/>
        <sz val="10"/>
        <color rgb="FF002060"/>
        <rFont val="Arial"/>
        <family val="2"/>
      </rPr>
      <t>Bild unten:</t>
    </r>
    <r>
      <rPr>
        <sz val="10"/>
        <color rgb="FF002060"/>
        <rFont val="Arial"/>
        <family val="2"/>
      </rPr>
      <t xml:space="preserve"> Der Fall-Weg </t>
    </r>
    <r>
      <rPr>
        <b/>
        <sz val="10"/>
        <color rgb="FF002060"/>
        <rFont val="Arial"/>
        <family val="2"/>
      </rPr>
      <t>s</t>
    </r>
  </si>
  <si>
    <t xml:space="preserve">      ändert sich proportional mit</t>
  </si>
  <si>
    <t xml:space="preserve">      dem Quadrat der Zeit.</t>
  </si>
  <si>
    <t>maschinenbau-wissen.de</t>
  </si>
  <si>
    <t>Abstand zum Himmelkörper:</t>
  </si>
  <si>
    <r>
      <t>Erde: M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R = 6373 km / R</t>
    </r>
    <r>
      <rPr>
        <vertAlign val="subscript"/>
        <sz val="10"/>
        <color rgb="FF002060"/>
        <rFont val="Arial"/>
        <family val="2"/>
      </rPr>
      <t>S</t>
    </r>
    <r>
      <rPr>
        <sz val="10"/>
        <color rgb="FF002060"/>
        <rFont val="Arial"/>
        <family val="2"/>
      </rPr>
      <t xml:space="preserve"> = 0,00000886967 km (0,00886967 m)</t>
    </r>
  </si>
  <si>
    <t xml:space="preserve">Galilei veröffentlichte die Entdeckungen in seinem </t>
  </si>
  <si>
    <t>Werk "De Mutu" (Über Bewegung) im Jahr 1590.</t>
  </si>
  <si>
    <t xml:space="preserve">Bei Galileis Beobachtungen änderte sich die Lage </t>
  </si>
  <si>
    <t>bewegt u. auch den mathematischen Zusammen-</t>
  </si>
  <si>
    <t xml:space="preserve">der Kugel auf der Schräge mit dem Quadrat der  </t>
  </si>
  <si>
    <t>Weg s</t>
  </si>
  <si>
    <r>
      <t>α</t>
    </r>
    <r>
      <rPr>
        <vertAlign val="subscript"/>
        <sz val="11"/>
        <color theme="1"/>
        <rFont val="Arial"/>
        <family val="2"/>
      </rPr>
      <t>%</t>
    </r>
    <r>
      <rPr>
        <sz val="11"/>
        <color theme="1"/>
        <rFont val="Arial"/>
        <family val="2"/>
      </rPr>
      <t xml:space="preserve"> =</t>
    </r>
  </si>
  <si>
    <t xml:space="preserve"> °</t>
  </si>
  <si>
    <t xml:space="preserve"> ´</t>
  </si>
  <si>
    <r>
      <t>Ablenkungswinkel (Bogenmaß)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</si>
  <si>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t>Ablenkungswinkel am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 in % bezogen auf den Ursprungs-Radius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</si>
  <si>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t xml:space="preserve">C: </t>
  </si>
  <si>
    <r>
      <t>(Schwerkraft F</t>
    </r>
    <r>
      <rPr>
        <b/>
        <vertAlign val="subscript"/>
        <sz val="10"/>
        <color rgb="FFC00000"/>
        <rFont val="Arial"/>
        <family val="2"/>
      </rPr>
      <t>G</t>
    </r>
    <r>
      <rPr>
        <sz val="10"/>
        <color rgb="FFC00000"/>
        <rFont val="Arial"/>
        <family val="2"/>
      </rPr>
      <t xml:space="preserve"> ist im Atom gegenüber der elektrischen Kraft F</t>
    </r>
    <r>
      <rPr>
        <b/>
        <vertAlign val="subscript"/>
        <sz val="10"/>
        <color rgb="FFC00000"/>
        <rFont val="Arial"/>
        <family val="2"/>
      </rPr>
      <t>C</t>
    </r>
    <r>
      <rPr>
        <sz val="10"/>
        <color rgb="FFC00000"/>
        <rFont val="Arial"/>
        <family val="2"/>
      </rPr>
      <t xml:space="preserve"> vernachlässigbar)</t>
    </r>
  </si>
  <si>
    <t xml:space="preserve">Das Schrödinger´sche Atommodell beschreibt das Atom als Welle mit einer von Raum und Zeit abhängigen Amplitude. Einem stationären Zustand des Elektrons </t>
  </si>
  <si>
    <t xml:space="preserve"> bar</t>
  </si>
  <si>
    <r>
      <t xml:space="preserve">  A</t>
    </r>
    <r>
      <rPr>
        <vertAlign val="subscript"/>
        <sz val="10"/>
        <color theme="1"/>
        <rFont val="Arial"/>
        <family val="2"/>
      </rPr>
      <t>Kugel</t>
    </r>
    <r>
      <rPr>
        <sz val="10"/>
        <color theme="1"/>
        <rFont val="Arial"/>
        <family val="2"/>
      </rPr>
      <t xml:space="preserve"> = 4 ∙ π ∙ R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umgestellt</t>
    </r>
  </si>
  <si>
    <r>
      <t xml:space="preserve">    </t>
    </r>
    <r>
      <rPr>
        <sz val="10"/>
        <color theme="1"/>
        <rFont val="Calibri"/>
        <family val="2"/>
      </rPr>
      <t>ε(T)</t>
    </r>
    <r>
      <rPr>
        <sz val="10"/>
        <color theme="1"/>
        <rFont val="Arial"/>
        <family val="2"/>
      </rPr>
      <t xml:space="preserve"> = Emissionsgrad = 0</t>
    </r>
  </si>
  <si>
    <r>
      <t>Stefan-Boltzmann-Gesetz (</t>
    </r>
    <r>
      <rPr>
        <sz val="10"/>
        <color rgb="FF002060"/>
        <rFont val="Arial"/>
        <family val="2"/>
      </rPr>
      <t>siehe Tab. Sammelsurium S 15)</t>
    </r>
  </si>
  <si>
    <t>Parallaxe Pi:</t>
  </si>
  <si>
    <t xml:space="preserve">Ein und dieselbe Lichtquelle erscheint dem Betrachter in 10 m Abstand 4 mal so hell wie in 20 m Abstand. Die von einem Stern ausgehende Strahlung wird in </t>
  </si>
  <si>
    <t xml:space="preserve">der Entfernung der Lichtquelle ab. Folgende Gesetzmäßigkeit gilt: Die scheinbare Helligkeit einer Lichtquelle nimmt mit dem Quardrat des Abstands zu ihr ab. </t>
  </si>
  <si>
    <r>
      <t xml:space="preserve">alle Richtungen in gleicher Stärke ausgestrahlt. Die geamte Stahlungsleistung wird Leuchtkraft </t>
    </r>
    <r>
      <rPr>
        <b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genannt und fließt somit durch alle um den Stern gedachten </t>
    </r>
  </si>
  <si>
    <t>Relativ-Geschwindigkeiten verändern</t>
  </si>
  <si>
    <t>Raum und Zeit sind untrennbar miteinander</t>
  </si>
  <si>
    <t xml:space="preserve">verbunden. Wenn sich die Zeit ändert, </t>
  </si>
  <si>
    <t>Raum und Zeit!</t>
  </si>
  <si>
    <r>
      <t>Geschwindig. v = 1 mm/s (10</t>
    </r>
    <r>
      <rPr>
        <vertAlign val="superscript"/>
        <sz val="10"/>
        <color rgb="FF002060"/>
        <rFont val="Arial"/>
        <family val="2"/>
      </rPr>
      <t>-3</t>
    </r>
    <r>
      <rPr>
        <sz val="10"/>
        <color rgb="FF002060"/>
        <rFont val="Arial"/>
        <family val="2"/>
      </rPr>
      <t xml:space="preserve"> m/s) </t>
    </r>
    <r>
      <rPr>
        <sz val="10"/>
        <color rgb="FF002060"/>
        <rFont val="Wingdings"/>
        <charset val="2"/>
      </rPr>
      <t>ð</t>
    </r>
    <r>
      <rPr>
        <sz val="10"/>
        <color rgb="FF002060"/>
        <rFont val="Arial"/>
        <family val="2"/>
      </rPr>
      <t xml:space="preserve"> Messgenauigkeit = </t>
    </r>
    <r>
      <rPr>
        <sz val="10"/>
        <color rgb="FF002060"/>
        <rFont val="Calibri"/>
        <family val="2"/>
      </rPr>
      <t>Δ</t>
    </r>
    <r>
      <rPr>
        <sz val="10"/>
        <color rgb="FF002060"/>
        <rFont val="Arial"/>
        <family val="2"/>
      </rPr>
      <t>v/v = 10</t>
    </r>
    <r>
      <rPr>
        <vertAlign val="superscript"/>
        <sz val="10"/>
        <color rgb="FF002060"/>
        <rFont val="Arial"/>
        <family val="2"/>
      </rPr>
      <t>-4</t>
    </r>
    <r>
      <rPr>
        <sz val="10"/>
        <color rgb="FF002060"/>
        <rFont val="Arial"/>
        <family val="2"/>
      </rPr>
      <t xml:space="preserve"> %, d.h.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Δ</t>
    </r>
    <r>
      <rPr>
        <b/>
        <sz val="10"/>
        <color rgb="FF002060"/>
        <rFont val="Arial"/>
        <family val="2"/>
      </rPr>
      <t>v = 10</t>
    </r>
    <r>
      <rPr>
        <b/>
        <vertAlign val="superscript"/>
        <sz val="10"/>
        <color rgb="FF002060"/>
        <rFont val="Arial"/>
        <family val="2"/>
      </rPr>
      <t xml:space="preserve">-9 </t>
    </r>
    <r>
      <rPr>
        <b/>
        <sz val="10"/>
        <color rgb="FF002060"/>
        <rFont val="Arial"/>
        <family val="2"/>
      </rPr>
      <t>m/s</t>
    </r>
    <r>
      <rPr>
        <sz val="10"/>
        <color rgb="FF002060"/>
        <rFont val="Arial"/>
        <family val="2"/>
      </rPr>
      <t xml:space="preserve"> /</t>
    </r>
  </si>
  <si>
    <r>
      <rPr>
        <sz val="12"/>
        <color rgb="FF002060"/>
        <rFont val="Arial"/>
        <family val="2"/>
      </rPr>
      <t xml:space="preserve">Weitere Berechnungen zum </t>
    </r>
    <r>
      <rPr>
        <b/>
        <sz val="12"/>
        <color rgb="FF002060"/>
        <rFont val="Arial"/>
        <family val="2"/>
      </rPr>
      <t>Wasserstoff-Atom</t>
    </r>
    <r>
      <rPr>
        <sz val="12"/>
        <color rgb="FF002060"/>
        <rFont val="Arial"/>
        <family val="2"/>
      </rPr>
      <t xml:space="preserve"> für Hauptquantenzahl</t>
    </r>
  </si>
  <si>
    <r>
      <t>Nach De Broglie kann</t>
    </r>
    <r>
      <rPr>
        <b/>
        <sz val="10"/>
        <color theme="1"/>
        <rFont val="Arial"/>
        <family val="2"/>
      </rPr>
      <t xml:space="preserve"> jedem</t>
    </r>
    <r>
      <rPr>
        <sz val="10"/>
        <color theme="1"/>
        <rFont val="Arial"/>
        <family val="2"/>
      </rPr>
      <t xml:space="preserve"> Teilchen, das einen Impuls (p = m </t>
    </r>
    <r>
      <rPr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 xml:space="preserve"> v) besitzt, </t>
    </r>
  </si>
  <si>
    <t>die Wellenlänge                                 zugeordnet werden, wobei p für den</t>
  </si>
  <si>
    <r>
      <t xml:space="preserve">Elektron im H-Atom: </t>
    </r>
    <r>
      <rPr>
        <b/>
        <sz val="10"/>
        <color rgb="FF002060"/>
        <rFont val="Calibri"/>
        <family val="2"/>
      </rPr>
      <t>Δ</t>
    </r>
    <r>
      <rPr>
        <b/>
        <sz val="10"/>
        <color rgb="FF002060"/>
        <rFont val="Arial"/>
        <family val="2"/>
      </rPr>
      <t>x = 10</t>
    </r>
    <r>
      <rPr>
        <b/>
        <vertAlign val="superscript"/>
        <sz val="10"/>
        <color rgb="FF002060"/>
        <rFont val="Arial"/>
        <family val="2"/>
      </rPr>
      <t>-10</t>
    </r>
    <r>
      <rPr>
        <b/>
        <sz val="10"/>
        <color rgb="FF002060"/>
        <rFont val="Arial"/>
        <family val="2"/>
      </rPr>
      <t xml:space="preserve"> m</t>
    </r>
    <r>
      <rPr>
        <sz val="10"/>
        <color rgb="FF002060"/>
        <rFont val="Arial"/>
        <family val="2"/>
      </rPr>
      <t xml:space="preserve"> / Masse </t>
    </r>
    <r>
      <rPr>
        <b/>
        <sz val="10"/>
        <color rgb="FF002060"/>
        <rFont val="Arial"/>
        <family val="2"/>
      </rPr>
      <t>m = 9,11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>10</t>
    </r>
    <r>
      <rPr>
        <b/>
        <vertAlign val="superscript"/>
        <sz val="10"/>
        <color rgb="FF002060"/>
        <rFont val="Arial"/>
        <family val="2"/>
      </rPr>
      <t>-31</t>
    </r>
    <r>
      <rPr>
        <b/>
        <sz val="10"/>
        <color rgb="FF002060"/>
        <rFont val="Arial"/>
        <family val="2"/>
      </rPr>
      <t xml:space="preserve"> kg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→</t>
    </r>
    <r>
      <rPr>
        <b/>
        <sz val="10"/>
        <color rgb="FF002060"/>
        <rFont val="Arial"/>
        <family val="2"/>
      </rPr>
      <t xml:space="preserve"> relevanter Effekt</t>
    </r>
    <r>
      <rPr>
        <sz val="10"/>
        <color rgb="FF002060"/>
        <rFont val="Arial"/>
        <family val="2"/>
      </rPr>
      <t xml:space="preserve">, denn die </t>
    </r>
  </si>
  <si>
    <r>
      <t xml:space="preserve">Elektron im H-Atom: </t>
    </r>
    <r>
      <rPr>
        <b/>
        <sz val="10"/>
        <color rgb="FF002060"/>
        <rFont val="Arial"/>
        <family val="2"/>
      </rPr>
      <t>v = 2,188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>10</t>
    </r>
    <r>
      <rPr>
        <b/>
        <vertAlign val="superscript"/>
        <sz val="10"/>
        <color rgb="FF002060"/>
        <rFont val="Arial"/>
        <family val="2"/>
      </rPr>
      <t>6</t>
    </r>
    <r>
      <rPr>
        <b/>
        <sz val="10"/>
        <color rgb="FF002060"/>
        <rFont val="Arial"/>
        <family val="2"/>
      </rPr>
      <t xml:space="preserve"> m/s</t>
    </r>
    <r>
      <rPr>
        <sz val="10"/>
        <color rgb="FF002060"/>
        <rFont val="Arial"/>
        <family val="2"/>
      </rPr>
      <t xml:space="preserve">  (s. Atomphysik) / Masse Elektron: </t>
    </r>
    <r>
      <rPr>
        <b/>
        <sz val="10"/>
        <color rgb="FF002060"/>
        <rFont val="Arial"/>
        <family val="2"/>
      </rPr>
      <t>m = 9,11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>10</t>
    </r>
    <r>
      <rPr>
        <b/>
        <vertAlign val="superscript"/>
        <sz val="10"/>
        <color rgb="FF002060"/>
        <rFont val="Arial"/>
        <family val="2"/>
      </rPr>
      <t>-31</t>
    </r>
    <r>
      <rPr>
        <b/>
        <sz val="10"/>
        <color rgb="FF002060"/>
        <rFont val="Arial"/>
        <family val="2"/>
      </rPr>
      <t xml:space="preserve"> kg</t>
    </r>
    <r>
      <rPr>
        <sz val="10"/>
        <color rgb="FF002060"/>
        <rFont val="Arial"/>
        <family val="2"/>
      </rPr>
      <t xml:space="preserve"> </t>
    </r>
  </si>
  <si>
    <t>ist auch o.k., Beziehung findet man auch in der Literatur,</t>
  </si>
  <si>
    <r>
      <t xml:space="preserve">Ausarbeitung hier wird Δp </t>
    </r>
    <r>
      <rPr>
        <b/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Δx = h/2·π zu Grunde gelegt, </t>
    </r>
  </si>
  <si>
    <r>
      <t xml:space="preserve">woraus sich die Beziehung Δp </t>
    </r>
    <r>
      <rPr>
        <b/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Δx = h/4·π ergibt. In der </t>
    </r>
  </si>
  <si>
    <t>Euler´sche Zahl</t>
  </si>
  <si>
    <t>Da der Bahndrehimpuls L des Elektrons per Defintion</t>
  </si>
  <si>
    <t xml:space="preserve">ergeben sich für die verschiedenen Zustände, sprich </t>
  </si>
  <si>
    <t>Beim Übergang eines Elektrons von einer Bahn auf eine andere wird Energie entweder abgegeben (beim Wechsel von einer äußeren auf eine innere Bahn, hin</t>
  </si>
  <si>
    <t xml:space="preserve">von den zugehörigen Quantenzahlen ab! </t>
  </si>
  <si>
    <r>
      <t xml:space="preserve">zum Grundzustand) oder aufgenommen (beim Wechsel von einer inneren auf eine äußere Bahn, weg vom Grundzustand). Der Betrag der Energie </t>
    </r>
    <r>
      <rPr>
        <b/>
        <sz val="11"/>
        <color rgb="FF002060"/>
        <rFont val="Arial"/>
        <family val="2"/>
      </rPr>
      <t>ΔE</t>
    </r>
    <r>
      <rPr>
        <sz val="11"/>
        <color rgb="FF002060"/>
        <rFont val="Arial"/>
        <family val="2"/>
      </rPr>
      <t xml:space="preserve"> hängt nur </t>
    </r>
  </si>
  <si>
    <t xml:space="preserve">Wird ein Elektron völlig aus dem Atomverband entfernt, entspricht dies einer unendlich großen Bahn und die hierzu aufzuwendende Ionisierungsenergie aus dem </t>
  </si>
  <si>
    <t>sich mit einem Proton (p+) zu einem Wasserstoffatom verbindet.</t>
  </si>
  <si>
    <t>Mit dem Bohrschen Atommodell lässt sich das Spektrum des Wasserstoff-</t>
  </si>
  <si>
    <t>atoms (H) theoretisch sehr genau herleiten. Durch das Gitterspektrometer</t>
  </si>
  <si>
    <t>erhält man ein Linienspektrum.</t>
  </si>
  <si>
    <t xml:space="preserve">                  Die Serien lassen sich auch mit der </t>
  </si>
  <si>
    <t xml:space="preserve">Das Elektron befindet sich im Atom im Elektrischen Potential. Dieses Potential ist bei unendlich weiter Entfernung vom Kern Null. Bewegt sich das Elektron (aus </t>
  </si>
  <si>
    <t>Atomkern bewegt, eine</t>
  </si>
  <si>
    <r>
      <t>indem er dem Elektron in der Atomhülle (Ruhemasse me</t>
    </r>
    <r>
      <rPr>
        <vertAlign val="subscript"/>
        <sz val="11"/>
        <color rgb="FF002060"/>
        <rFont val="Arial"/>
        <family val="2"/>
      </rPr>
      <t>0</t>
    </r>
    <r>
      <rPr>
        <sz val="11"/>
        <color rgb="FF002060"/>
        <rFont val="Arial"/>
        <family val="2"/>
      </rPr>
      <t>), das sich mit der Geschwindigkeit β = v / c um den</t>
    </r>
  </si>
  <si>
    <t xml:space="preserve">                 Proton                                                                Neutron                                         </t>
  </si>
  <si>
    <t>π+ - Meson</t>
  </si>
  <si>
    <t>Die starke Kernkraft hält die Quarks in den Protonen und Neutronen, sowie die Pro-</t>
  </si>
  <si>
    <t>tonen und Neutronen im Atomkern zusammen. Botenteilchen der Kraft ist das Gluon,</t>
  </si>
  <si>
    <t xml:space="preserve">das nur mit sich selbst u. den Quarks in Wechselwirkung steht. Die starke Kernkraft </t>
  </si>
  <si>
    <r>
      <t xml:space="preserve">chen in Kombinationen zusammen, die </t>
    </r>
    <r>
      <rPr>
        <u/>
        <sz val="11"/>
        <color rgb="FF002060"/>
        <rFont val="Arial"/>
        <family val="2"/>
      </rPr>
      <t>keine</t>
    </r>
    <r>
      <rPr>
        <sz val="11"/>
        <color rgb="FF002060"/>
        <rFont val="Arial"/>
        <family val="2"/>
      </rPr>
      <t xml:space="preserve"> "Farbe" (</t>
    </r>
    <r>
      <rPr>
        <u/>
        <sz val="11"/>
        <color rgb="FF002060"/>
        <rFont val="Arial"/>
        <family val="2"/>
      </rPr>
      <t>weiß</t>
    </r>
    <r>
      <rPr>
        <sz val="11"/>
        <color rgb="FF002060"/>
        <rFont val="Arial"/>
        <family val="2"/>
      </rPr>
      <t xml:space="preserve">) haben. Ein freies Quark </t>
    </r>
  </si>
  <si>
    <t xml:space="preserve">Energien nimmt die Kopplungsstärke ab und     </t>
  </si>
  <si>
    <t xml:space="preserve"> Quarks verhalten sich asymtotisch wie freie      </t>
  </si>
  <si>
    <t xml:space="preserve">                                                    Teilchen.                                                      </t>
  </si>
  <si>
    <r>
      <t>(hypothet. subatomares Teilchen). Die Reichweite der Gluonen beträgt nur 10</t>
    </r>
    <r>
      <rPr>
        <vertAlign val="superscript"/>
        <sz val="11"/>
        <color rgb="FF002060"/>
        <rFont val="Arial"/>
        <family val="2"/>
      </rPr>
      <t>-15</t>
    </r>
    <r>
      <rPr>
        <sz val="11"/>
        <color rgb="FF002060"/>
        <rFont val="Arial"/>
        <family val="2"/>
      </rPr>
      <t xml:space="preserve"> m.</t>
    </r>
  </si>
  <si>
    <t xml:space="preserve">Die Tatsache, dass in Folge des Confinements kein isoliertes Quark oder Gluon zu </t>
  </si>
  <si>
    <t xml:space="preserve">erscheinen. Doch es gilt die "asymptotische Freiheit", eine weitere Eigenschaft der </t>
  </si>
  <si>
    <t xml:space="preserve">Kernkraft. Danach nimmt die starke Wechselwirkung (Kopplungsstärke / -konstante) </t>
  </si>
  <si>
    <t xml:space="preserve">freie Teilchen verhalten. </t>
  </si>
  <si>
    <t xml:space="preserve">bei hohen Energien zu (Teilchenbeschleuniger), so dass sie sich asymtotisch wie </t>
  </si>
  <si>
    <t xml:space="preserve">beobachten ist, lässt die Vorstellung von Quarks und Gluonen etwas metaphysisch </t>
  </si>
  <si>
    <r>
      <t>Beispiele:</t>
    </r>
    <r>
      <rPr>
        <sz val="11"/>
        <color rgb="FF002060"/>
        <rFont val="Arial"/>
        <family val="2"/>
      </rPr>
      <t xml:space="preserve"> Zusammenhalt der Protonen, Neutronen und somit Aufbau der Materie.</t>
    </r>
  </si>
  <si>
    <r>
      <t>ein ganzzahliges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Vielfaches von h/2</t>
    </r>
    <r>
      <rPr>
        <sz val="10"/>
        <color theme="1"/>
        <rFont val="Calibri"/>
        <family val="2"/>
      </rPr>
      <t>π</t>
    </r>
    <r>
      <rPr>
        <sz val="10"/>
        <color theme="1"/>
        <rFont val="Arial"/>
        <family val="2"/>
      </rPr>
      <t xml:space="preserve"> ist (L = n</t>
    </r>
    <r>
      <rPr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>h/2</t>
    </r>
    <r>
      <rPr>
        <sz val="10"/>
        <color theme="1"/>
        <rFont val="Calibri"/>
        <family val="2"/>
      </rPr>
      <t>π),</t>
    </r>
  </si>
  <si>
    <t xml:space="preserve">Das Standardmodell der Teilchenphysik beschreibt perfekt alle bekannten Phänomene des Mikrokosmos und unterscheidet zwischen Teilchen aus denen die </t>
  </si>
  <si>
    <r>
      <t xml:space="preserve">unterscheiden sich wesentlich durch den Spin, und </t>
    </r>
    <r>
      <rPr>
        <b/>
        <sz val="11"/>
        <color theme="1"/>
        <rFont val="Arial"/>
        <family val="2"/>
      </rPr>
      <t>einzig</t>
    </r>
    <r>
      <rPr>
        <sz val="11"/>
        <color theme="1"/>
        <rFont val="Arial"/>
        <family val="2"/>
      </rPr>
      <t xml:space="preserve"> dieser entscheidet, ob ein Teilchen Materie- (Spin 1/2) oder Kraft- (Spin 1) Teilchen ist. Die Wissen-</t>
    </r>
  </si>
  <si>
    <r>
      <t xml:space="preserve">schaftler haben auch herausgefunden, dass alle Wechselwirkungen durch den Austausch von Kraftteilchen bewirkt werden. Ursache hierfür sind </t>
    </r>
    <r>
      <rPr>
        <b/>
        <sz val="11"/>
        <color rgb="FF002060"/>
        <rFont val="Arial"/>
        <family val="2"/>
      </rPr>
      <t>Symetrieen</t>
    </r>
    <r>
      <rPr>
        <sz val="11"/>
        <color theme="1"/>
        <rFont val="Arial"/>
        <family val="2"/>
      </rPr>
      <t xml:space="preserve">. </t>
    </r>
  </si>
  <si>
    <t xml:space="preserve">Die Materieteilchen erfüllen drei bestimmte Symetrieen, indem sie bei Veränderungen zu jeder Zeit und an jedem Ort ein gleichbleibendes Erscheinungsbild be- </t>
  </si>
  <si>
    <t xml:space="preserve">wahren. Bei dem ständiges Hin- und Hersausen der Kraftteilchen zwischen den Materieteilchen erzeugen sie die Kraftwirkung. </t>
  </si>
  <si>
    <r>
      <t>Materie besteht</t>
    </r>
    <r>
      <rPr>
        <b/>
        <sz val="11"/>
        <color theme="1"/>
        <rFont val="Arial"/>
        <family val="2"/>
      </rPr>
      <t xml:space="preserve"> (</t>
    </r>
    <r>
      <rPr>
        <b/>
        <sz val="11"/>
        <color rgb="FF002060"/>
        <rFont val="Arial"/>
        <family val="2"/>
      </rPr>
      <t>Materie-Teilchen)</t>
    </r>
    <r>
      <rPr>
        <sz val="11"/>
        <color theme="1"/>
        <rFont val="Arial"/>
        <family val="2"/>
      </rPr>
      <t xml:space="preserve"> sowie die Wechselwirkungen zwischen ihnen, die ebenfalls über Teilchen </t>
    </r>
    <r>
      <rPr>
        <b/>
        <sz val="11"/>
        <color theme="1"/>
        <rFont val="Arial"/>
        <family val="2"/>
      </rPr>
      <t>(</t>
    </r>
    <r>
      <rPr>
        <b/>
        <sz val="11"/>
        <color rgb="FF002060"/>
        <rFont val="Arial"/>
        <family val="2"/>
      </rPr>
      <t>Kraft-Teilchen)</t>
    </r>
    <r>
      <rPr>
        <sz val="11"/>
        <rFont val="Arial"/>
        <family val="2"/>
      </rPr>
      <t xml:space="preserve"> passieren. Die</t>
    </r>
    <r>
      <rPr>
        <sz val="11"/>
        <color theme="1"/>
        <rFont val="Arial"/>
        <family val="2"/>
      </rPr>
      <t xml:space="preserve"> Teilchenarten </t>
    </r>
  </si>
  <si>
    <r>
      <t xml:space="preserve">Ein weiterer Bestandteil des Standardmodells ist das </t>
    </r>
    <r>
      <rPr>
        <b/>
        <sz val="11"/>
        <color rgb="FF002060"/>
        <rFont val="Arial"/>
        <family val="2"/>
      </rPr>
      <t>Higgsteilchen</t>
    </r>
    <r>
      <rPr>
        <sz val="11"/>
        <rFont val="Arial"/>
        <family val="2"/>
      </rPr>
      <t>, das</t>
    </r>
    <r>
      <rPr>
        <b/>
        <sz val="11"/>
        <color rgb="FF00206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weder Materieteilchen noch Kraftteilchen ist. Der Theorie nach verleiht das überall </t>
    </r>
  </si>
  <si>
    <t xml:space="preserve">vorhandene Higgsfeld den Elementarteilchen ihre Masse, indem sie über den Austausch von Higgsteilchen mit dem Higgsfeld wechselwirken. </t>
  </si>
  <si>
    <r>
      <t xml:space="preserve">Weg mit </t>
    </r>
    <r>
      <rPr>
        <b/>
        <sz val="11"/>
        <color rgb="FF002060"/>
        <rFont val="Arial"/>
        <family val="2"/>
      </rPr>
      <t>verschiedenen Geschwindigkeiten</t>
    </r>
    <r>
      <rPr>
        <sz val="11"/>
        <color rgb="FF002060"/>
        <rFont val="Arial"/>
        <family val="2"/>
      </rPr>
      <t xml:space="preserve"> zurück (idealisiert, d. h. ohne Beschleunigungs- und Verzögerungsphasen). Jeder </t>
    </r>
  </si>
  <si>
    <t>Alle Uhren gehen exakt gleich.</t>
  </si>
  <si>
    <t>Niels Bohr 1922</t>
  </si>
  <si>
    <t xml:space="preserve">   (1885 - 1962)</t>
  </si>
  <si>
    <t>Grafik: uni-ulm.de</t>
  </si>
  <si>
    <t>Das einfachste "brauchbare" Atommodell ist das Bohr-Modell. Es ist eine Weiterent-</t>
  </si>
  <si>
    <r>
      <t>Wasserstoffatom gilt q</t>
    </r>
    <r>
      <rPr>
        <vertAlign val="sub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= q</t>
    </r>
    <r>
      <rPr>
        <vertAlign val="sub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= e = Elementarladung.</t>
    </r>
  </si>
  <si>
    <r>
      <t>d.h. die Coulombkraft F</t>
    </r>
    <r>
      <rPr>
        <vertAlign val="subscript"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wirkt als Zentriepedalkraft F</t>
    </r>
    <r>
      <rPr>
        <vertAlign val="subscript"/>
        <sz val="10"/>
        <color theme="1"/>
        <rFont val="Arial"/>
        <family val="2"/>
      </rPr>
      <t>Z</t>
    </r>
    <r>
      <rPr>
        <sz val="10"/>
        <color theme="1"/>
        <rFont val="Arial"/>
        <family val="2"/>
      </rPr>
      <t xml:space="preserve">, womit gilt:  </t>
    </r>
    <r>
      <rPr>
        <b/>
        <sz val="10"/>
        <color rgb="FF002060"/>
        <rFont val="Arial"/>
        <family val="2"/>
      </rPr>
      <t>F</t>
    </r>
    <r>
      <rPr>
        <b/>
        <vertAlign val="subscript"/>
        <sz val="10"/>
        <color rgb="FF002060"/>
        <rFont val="Arial"/>
        <family val="2"/>
      </rPr>
      <t>Z</t>
    </r>
    <r>
      <rPr>
        <b/>
        <sz val="10"/>
        <color rgb="FF002060"/>
        <rFont val="Arial"/>
        <family val="2"/>
      </rPr>
      <t xml:space="preserve"> = F</t>
    </r>
    <r>
      <rPr>
        <b/>
        <vertAlign val="subscript"/>
        <sz val="10"/>
        <color rgb="FF002060"/>
        <rFont val="Arial"/>
        <family val="2"/>
      </rPr>
      <t>C</t>
    </r>
    <r>
      <rPr>
        <sz val="10"/>
        <color theme="1"/>
        <rFont val="Arial"/>
        <family val="2"/>
      </rPr>
      <t xml:space="preserve">. Für das </t>
    </r>
  </si>
  <si>
    <t xml:space="preserve">Die Gesamtenergie des Elektrons ergibt sich aus der Summe von potenzieller und </t>
  </si>
  <si>
    <r>
      <t>kinetischer Energie:</t>
    </r>
    <r>
      <rPr>
        <b/>
        <sz val="10"/>
        <color theme="1"/>
        <rFont val="Arial"/>
        <family val="2"/>
      </rPr>
      <t xml:space="preserve"> E</t>
    </r>
    <r>
      <rPr>
        <b/>
        <vertAlign val="subscript"/>
        <sz val="10"/>
        <color theme="1"/>
        <rFont val="Arial"/>
        <family val="2"/>
      </rPr>
      <t>n</t>
    </r>
    <r>
      <rPr>
        <b/>
        <sz val="10"/>
        <color theme="1"/>
        <rFont val="Arial"/>
        <family val="2"/>
      </rPr>
      <t xml:space="preserve"> = E</t>
    </r>
    <r>
      <rPr>
        <b/>
        <vertAlign val="subscript"/>
        <sz val="10"/>
        <color theme="1"/>
        <rFont val="Arial"/>
        <family val="2"/>
      </rPr>
      <t>kin,n +</t>
    </r>
    <r>
      <rPr>
        <b/>
        <sz val="10"/>
        <color theme="1"/>
        <rFont val="Arial"/>
        <family val="2"/>
      </rPr>
      <t xml:space="preserve"> E</t>
    </r>
    <r>
      <rPr>
        <b/>
        <vertAlign val="subscript"/>
        <sz val="10"/>
        <color theme="1"/>
        <rFont val="Arial"/>
        <family val="2"/>
      </rPr>
      <t>pot,n</t>
    </r>
    <r>
      <rPr>
        <sz val="10"/>
        <color theme="1"/>
        <rFont val="Arial"/>
        <family val="2"/>
      </rPr>
      <t>, wobei n für die n-te Bahn steht. Die poten-</t>
    </r>
  </si>
  <si>
    <t>Hüllen-Elektron gegen die Coulomb-Kraft vom Kern zu entfernen.</t>
  </si>
  <si>
    <r>
      <t>tielle Energie ist</t>
    </r>
    <r>
      <rPr>
        <b/>
        <sz val="10"/>
        <color theme="1"/>
        <rFont val="Arial"/>
        <family val="2"/>
      </rPr>
      <t xml:space="preserve"> </t>
    </r>
    <r>
      <rPr>
        <sz val="10"/>
        <color rgb="FFC00000"/>
        <rFont val="Arial"/>
        <family val="2"/>
      </rPr>
      <t xml:space="preserve">negativ </t>
    </r>
    <r>
      <rPr>
        <sz val="10"/>
        <rFont val="Arial"/>
        <family val="2"/>
      </rPr>
      <t>(</t>
    </r>
    <r>
      <rPr>
        <sz val="10"/>
        <color theme="9" tint="-0.499984740745262"/>
        <rFont val="Arial"/>
        <family val="2"/>
      </rPr>
      <t>-</t>
    </r>
    <r>
      <rPr>
        <sz val="10"/>
        <rFont val="Arial"/>
        <family val="2"/>
      </rPr>
      <t>)</t>
    </r>
    <r>
      <rPr>
        <sz val="10"/>
        <color theme="1"/>
        <rFont val="Arial"/>
        <family val="2"/>
      </rPr>
      <t xml:space="preserve">, weil diese Energie aufgewendet werden muss, um das </t>
    </r>
  </si>
  <si>
    <t xml:space="preserve">immer Energie abstrahlen, dabei immer langsamer werden und auf einer Spiralbahn </t>
  </si>
  <si>
    <t xml:space="preserve">Man kann also ein Atom und seine Bestandteile mit den Augen nicht sehen, weil schon der Atromradius </t>
  </si>
  <si>
    <r>
      <t>kleiner ist als die Wellenlängen des für uns sichtbaren Lichts von 400 bis 700 nm (4·10</t>
    </r>
    <r>
      <rPr>
        <vertAlign val="superscript"/>
        <sz val="11"/>
        <color rgb="FF002060"/>
        <rFont val="Arial"/>
        <family val="2"/>
      </rPr>
      <t>-7</t>
    </r>
    <r>
      <rPr>
        <sz val="11"/>
        <color rgb="FF002060"/>
        <rFont val="Arial"/>
        <family val="2"/>
      </rPr>
      <t xml:space="preserve">  bis  7·10</t>
    </r>
    <r>
      <rPr>
        <vertAlign val="superscript"/>
        <sz val="11"/>
        <color rgb="FF002060"/>
        <rFont val="Arial"/>
        <family val="2"/>
      </rPr>
      <t>-7</t>
    </r>
    <r>
      <rPr>
        <sz val="11"/>
        <color rgb="FF002060"/>
        <rFont val="Arial"/>
        <family val="2"/>
      </rPr>
      <t xml:space="preserve"> m),</t>
    </r>
  </si>
  <si>
    <t>kommen (keine Farben im üblichen Sinn, stehen hier für besondere Eigenschaften).</t>
  </si>
  <si>
    <r>
      <t xml:space="preserve">tationsfeldsträrke ergibt g = 1,63 </t>
    </r>
    <r>
      <rPr>
        <sz val="11"/>
        <color rgb="FF002060"/>
        <rFont val="Calibri"/>
        <family val="2"/>
      </rPr>
      <t>m·s</t>
    </r>
    <r>
      <rPr>
        <vertAlign val="superscript"/>
        <sz val="11"/>
        <color rgb="FF002060"/>
        <rFont val="Calibri"/>
        <family val="2"/>
      </rPr>
      <t>-2</t>
    </r>
    <r>
      <rPr>
        <sz val="11"/>
        <color rgb="FF002060"/>
        <rFont val="Calibri"/>
        <family val="2"/>
      </rPr>
      <t xml:space="preserve"> und beträgt </t>
    </r>
  </si>
  <si>
    <t xml:space="preserve">Die schwarzen Absorptions- (Fraunhofer-) Linien ergeben ein </t>
  </si>
  <si>
    <t>Abbild der Zusammensetzung der Schichten, die das Licht von</t>
  </si>
  <si>
    <r>
      <t xml:space="preserve">Fahrtrichtung mit 10.000 km/s spazieren. Der Beobachter </t>
    </r>
    <r>
      <rPr>
        <b/>
        <sz val="10"/>
        <color rgb="FF002060"/>
        <rFont val="Arial"/>
        <family val="2"/>
      </rPr>
      <t>B</t>
    </r>
    <r>
      <rPr>
        <sz val="10"/>
        <color rgb="FF002060"/>
        <rFont val="Arial"/>
        <family val="2"/>
      </rPr>
      <t xml:space="preserve"> sieht Person </t>
    </r>
    <r>
      <rPr>
        <b/>
        <sz val="10"/>
        <color rgb="FF002060"/>
        <rFont val="Arial"/>
        <family val="2"/>
      </rPr>
      <t>A</t>
    </r>
    <r>
      <rPr>
        <sz val="10"/>
        <color rgb="FF002060"/>
        <rFont val="Arial"/>
        <family val="2"/>
      </rPr>
      <t xml:space="preserve"> mit 108.790 bzw.</t>
    </r>
  </si>
  <si>
    <t>91.013 km/s vorbei ziehen und nicht mit 110.000 bzw. 90.000 km/s wie bei Galilei / Newton.</t>
  </si>
  <si>
    <r>
      <t xml:space="preserve"> 13,8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9</t>
    </r>
    <r>
      <rPr>
        <sz val="10"/>
        <color rgb="FF002060"/>
        <rFont val="Arial"/>
        <family val="2"/>
      </rPr>
      <t xml:space="preserve"> (13,8 Mrd.) Jahre</t>
    </r>
  </si>
  <si>
    <r>
      <t xml:space="preserve"> 8,5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52</t>
    </r>
    <r>
      <rPr>
        <sz val="10"/>
        <color rgb="FF002060"/>
        <rFont val="Arial"/>
        <family val="2"/>
      </rPr>
      <t xml:space="preserve"> bis 10</t>
    </r>
    <r>
      <rPr>
        <vertAlign val="superscript"/>
        <sz val="10"/>
        <color rgb="FF002060"/>
        <rFont val="Arial"/>
        <family val="2"/>
      </rPr>
      <t>53</t>
    </r>
    <r>
      <rPr>
        <sz val="10"/>
        <color rgb="FF002060"/>
        <rFont val="Arial"/>
        <family val="2"/>
      </rPr>
      <t xml:space="preserve"> kg</t>
    </r>
  </si>
  <si>
    <r>
      <t xml:space="preserve"> 1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 xml:space="preserve">-27 </t>
    </r>
    <r>
      <rPr>
        <sz val="10"/>
        <color rgb="FF002060"/>
        <rFont val="Arial"/>
        <family val="2"/>
      </rPr>
      <t xml:space="preserve">bis 5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-27</t>
    </r>
    <r>
      <rPr>
        <sz val="10"/>
        <color rgb="FF002060"/>
        <rFont val="Arial"/>
        <family val="2"/>
      </rPr>
      <t xml:space="preserve"> kg/m³</t>
    </r>
  </si>
  <si>
    <r>
      <t xml:space="preserve">Die Raumfahrer A, B, C, D, E, F und G starten </t>
    </r>
    <r>
      <rPr>
        <b/>
        <sz val="11"/>
        <color rgb="FF002060"/>
        <rFont val="Arial"/>
        <family val="2"/>
      </rPr>
      <t>gleichzeitig</t>
    </r>
    <r>
      <rPr>
        <sz val="11"/>
        <color rgb="FF002060"/>
        <rFont val="Arial"/>
        <family val="2"/>
      </rPr>
      <t xml:space="preserve"> eine Reise </t>
    </r>
    <r>
      <rPr>
        <b/>
        <sz val="11"/>
        <color rgb="FF002060"/>
        <rFont val="Arial"/>
        <family val="2"/>
      </rPr>
      <t>gleicher Weglänge l</t>
    </r>
    <r>
      <rPr>
        <sz val="11"/>
        <color rgb="FF002060"/>
        <rFont val="Arial"/>
        <family val="2"/>
      </rPr>
      <t xml:space="preserve"> zur </t>
    </r>
    <r>
      <rPr>
        <b/>
        <sz val="11"/>
        <color rgb="FF002060"/>
        <rFont val="Arial"/>
        <family val="2"/>
      </rPr>
      <t>selben Ziellinie</t>
    </r>
    <r>
      <rPr>
        <sz val="11"/>
        <color rgb="FF002060"/>
        <rFont val="Arial"/>
        <family val="2"/>
      </rPr>
      <t xml:space="preserve">. Sie legen den </t>
    </r>
  </si>
  <si>
    <r>
      <t xml:space="preserve">Zentrum, wobei in einer </t>
    </r>
    <r>
      <rPr>
        <b/>
        <sz val="11"/>
        <color theme="1"/>
        <rFont val="Arial"/>
        <family val="2"/>
      </rPr>
      <t xml:space="preserve">Proton-Proton </t>
    </r>
    <r>
      <rPr>
        <sz val="11"/>
        <color theme="1"/>
        <rFont val="Arial"/>
        <family val="2"/>
      </rPr>
      <t xml:space="preserve">- (Haupt-) Reaktonskette Wasserstoff in Helium verwandelt </t>
    </r>
  </si>
  <si>
    <t>zum Gravitationsdruck einen Gegendruck erzeugt. Bei einem stabilen Stern halten sich Gravitations-</t>
  </si>
  <si>
    <t>Auf diese Weise "verbrennt" die Sonne in jeder Sekunde 597 Mio. t Wasserstoffkerne zu 593 Mio. t</t>
  </si>
  <si>
    <r>
      <t xml:space="preserve"> </t>
    </r>
    <r>
      <rPr>
        <b/>
        <sz val="11"/>
        <color theme="1"/>
        <rFont val="Arial"/>
        <family val="2"/>
      </rPr>
      <t xml:space="preserve"> t</t>
    </r>
    <r>
      <rPr>
        <sz val="11"/>
        <color theme="1"/>
        <rFont val="Arial"/>
        <family val="2"/>
      </rPr>
      <t xml:space="preserve">  Materie pro Sekunde in </t>
    </r>
  </si>
  <si>
    <r>
      <t xml:space="preserve">  </t>
    </r>
    <r>
      <rPr>
        <b/>
        <sz val="11"/>
        <color theme="1"/>
        <rFont val="Arial"/>
        <family val="2"/>
      </rPr>
      <t>J</t>
    </r>
    <r>
      <rPr>
        <sz val="11"/>
        <color theme="1"/>
        <rFont val="Arial"/>
        <family val="2"/>
      </rPr>
      <t xml:space="preserve">  Energie </t>
    </r>
  </si>
  <si>
    <t>Heliumkernen u. es werden</t>
  </si>
  <si>
    <t>umgewandelt. Dies entspricht der Masse von 6.000 ICE-4-Zügen, die in jeder Sekunde abgestrahlt</t>
  </si>
  <si>
    <t xml:space="preserve">und er läuft so lange ab, bis der Vorrat an Wasserstoff aufgebraucht ist. Bis dahin werden nochmal </t>
  </si>
  <si>
    <t>Blauen Riesen werden Rote Riesen oder Rote Super-Riesen (s. u.).</t>
  </si>
  <si>
    <t xml:space="preserve">turen von 1 - 5 Mio. K. Keine H-Fusion. Braune Zwerge kühlen wegen </t>
  </si>
  <si>
    <t xml:space="preserve">Braune Zwerge </t>
  </si>
  <si>
    <t xml:space="preserve">geringer Energieeffiziens schnell aus und leben nur wenige Mio. Jahre. </t>
  </si>
  <si>
    <t>sind Hauptreihensterne und haben ungefähr die Masse der Sonne bis zur achtfachen Sonnenmasse</t>
  </si>
  <si>
    <t xml:space="preserve">Die Effektiv-Temperatur steigt, die Leuchtkraft sinkt aber wg. der Vergrößerung der Oberfläche (z. B. </t>
  </si>
  <si>
    <t xml:space="preserve">Sonnen-Radius v. 1,5 auf 150 Mio km). Der He-Kern hat zunächst keine genügend hohe Temperatur </t>
  </si>
  <si>
    <t xml:space="preserve">um die Helium-Fusion zu starten. Wegen des sinkenden Strahlungsdrucks kontrahiert der Kern, und </t>
  </si>
  <si>
    <t>mit dem Graviationskollaps steigen Druck u. Temperatur enorm an, so dass jetzt Helium zu höheren</t>
  </si>
  <si>
    <t xml:space="preserve">Elementen fusioniert. Dabei entstehen zunächst Kohlenstoff (C) u. Sauerstoff (O). Wenn danach im </t>
  </si>
  <si>
    <t xml:space="preserve">Innern noch genug Druck u. Temperatur herrschen entstehen, abhängig von der Masse des Sterns, </t>
  </si>
  <si>
    <t xml:space="preserve">weitere schwere Elemente. Das geht so bis zum Eisen. Dann ist Schluss, es lässt sich durch Fusion </t>
  </si>
  <si>
    <t>Abhängig von der Masse des Sterns finden nach dem Schalenbrennen verschiedene Prozesse statt.</t>
  </si>
  <si>
    <r>
      <t>Sterne von &lt; 1,44 Sonnen- (Rest-) Massen (</t>
    </r>
    <r>
      <rPr>
        <b/>
        <sz val="11"/>
        <color theme="1"/>
        <rFont val="Arial"/>
        <family val="2"/>
      </rPr>
      <t>Chandrasekhar-Grenze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3 - 8 Sonnen) dehnen sich </t>
    </r>
  </si>
  <si>
    <t xml:space="preserve">wegen den enorm hohen Temperaturen von bis zu 100 Mio. K im Innern, die damit weit oberhalb der </t>
  </si>
  <si>
    <t xml:space="preserve">15 Mio. K bei der Wasserstoff-Fusion liegen, auf den 100-fachen Durchmesser aus. Somit kann der </t>
  </si>
  <si>
    <t>Stern die bei der Kernfusion freigesetzte Energie bei relativ geringer Temperatur von 2000 - 4000 K</t>
  </si>
  <si>
    <t>abstrahlen und leuchtet dabei sehr hell und rot.</t>
  </si>
  <si>
    <t>Während den einzelnen Fusionsvorgängen beim Schalenbrennen werden die äußeren Gashüllen in</t>
  </si>
  <si>
    <t xml:space="preserve">den Weltraum geschleudert und bilden dann Planetarische Nebel (Name ist historisch bedingt, hat </t>
  </si>
  <si>
    <t xml:space="preserve">nichts mit Planeten zu tun). Wenn dann die Fusionsprozesse erloschen sind, hat der rote Riese er-  </t>
  </si>
  <si>
    <t>heblich an Masse verloren und stürzt durch Eigengravitation (kein Strahlungsdruck mehr) in sich zu-</t>
  </si>
  <si>
    <t xml:space="preserve">ca. 12.000 km / Dichte ca. 1.000 kg/cm³ / Temperatur 10.000 bis 100.000 °C (anfangs) ► leuchtet </t>
  </si>
  <si>
    <t xml:space="preserve">weiß aber schwach (wegen geringer Oberfläche) / schnelle Rotation (Drehimpulserhaltung bei der </t>
  </si>
  <si>
    <r>
      <t xml:space="preserve">Kontraktion, sprich Pirouetteneffekt. Weiße Zwerge kühlen ganz langsam zu </t>
    </r>
    <r>
      <rPr>
        <b/>
        <sz val="11"/>
        <color theme="1"/>
        <rFont val="Arial"/>
        <family val="2"/>
      </rPr>
      <t xml:space="preserve">Schwarzen Zwergen </t>
    </r>
  </si>
  <si>
    <t xml:space="preserve">wurden auch noch keine gesichtet. </t>
  </si>
  <si>
    <t>als Protonen).</t>
  </si>
  <si>
    <t xml:space="preserve">aus. Und weil dies so lange dauert (mehrere 10 Mrd. Jahre), gibt es vermutlich noch keine. Und es </t>
  </si>
  <si>
    <t xml:space="preserve">Die Weißen Zwerge sind am Ende jeglicher Kernfusion das Endstadium der Entwicklung der meisten </t>
  </si>
  <si>
    <t xml:space="preserve">Sterne. Sie bestehen aus Atomkernen bis zu Eisen und freien Elektronen (beanspruchen mehr Platz </t>
  </si>
  <si>
    <r>
      <t xml:space="preserve">mit bis zu 1000-fachem Sonnendurchmesser. Ein Roter Superriese </t>
    </r>
    <r>
      <rPr>
        <b/>
        <sz val="11"/>
        <color theme="1"/>
        <rFont val="Arial"/>
        <family val="2"/>
      </rPr>
      <t>&lt; 3,2</t>
    </r>
    <r>
      <rPr>
        <sz val="11"/>
        <color theme="1"/>
        <rFont val="Arial"/>
        <family val="2"/>
      </rPr>
      <t xml:space="preserve"> Sonnenmassen kollabiert </t>
    </r>
  </si>
  <si>
    <r>
      <t xml:space="preserve">in einer Supernova zu einem </t>
    </r>
    <r>
      <rPr>
        <b/>
        <sz val="11"/>
        <color theme="1"/>
        <rFont val="Arial"/>
        <family val="2"/>
      </rPr>
      <t>Neutronenstern</t>
    </r>
    <r>
      <rPr>
        <sz val="11"/>
        <color theme="1"/>
        <rFont val="Arial"/>
        <family val="2"/>
      </rPr>
      <t xml:space="preserve">. Der Gravitationsdruck wird dabei so groß, dass die </t>
    </r>
  </si>
  <si>
    <t xml:space="preserve">die ganz dicht gepackt sind (keine Coulomb-Abstoßung). Der Durchmesser beträgt 10 - 20 km und </t>
  </si>
  <si>
    <t xml:space="preserve">wirkt der Stern relativ "normal". Der Kern erhitzt sich beim Kollabieren enorm und stößt dabei einen </t>
  </si>
  <si>
    <t>Neutronenschauer ab, der die umgebenden Hüllen extrem aufheizt (Hüllenbrand). Durch den Neu-</t>
  </si>
  <si>
    <t xml:space="preserve">tronenbeschuss entstehen dann auch schwerere Elemente als Eisen. Wegen des Piouretteneffekts </t>
  </si>
  <si>
    <t xml:space="preserve">rotiert so ein Stern mit Frequenzen von 100 - 1000 Umdrehungen in der Sekunde. Die rotierenden </t>
  </si>
  <si>
    <t>beim Kollabieren der Kernzone auf weniger als ein hunderttausendstel des Ursprungsdurchmessers</t>
  </si>
  <si>
    <t xml:space="preserve">Neutronensterne haben starke Magnetfelder. Ist das Magnetfeld gegen die Rotationsachse geneigt, </t>
  </si>
  <si>
    <t xml:space="preserve">sendet der Stern 2 enge Strahlenbündel aus, die mit dem Stern wie ein Leuchtfeuer schnell rotieren. </t>
  </si>
  <si>
    <r>
      <t xml:space="preserve">Das ist dann ein </t>
    </r>
    <r>
      <rPr>
        <b/>
        <sz val="11"/>
        <color theme="1"/>
        <rFont val="Arial"/>
        <family val="2"/>
      </rPr>
      <t>Pulsar</t>
    </r>
    <r>
      <rPr>
        <sz val="11"/>
        <color theme="1"/>
        <rFont val="Arial"/>
        <family val="2"/>
      </rPr>
      <t>. Das Spektrum der Strahlung kann sich von Radiowellen über Licht bis hin</t>
    </r>
  </si>
  <si>
    <t xml:space="preserve">zur Gammastrahlung erstrecken. Der Neutronenstern im Krebsnebel entstand im Jahr 1054 durch </t>
  </si>
  <si>
    <t xml:space="preserve">Sterne von mehr als 1,44 Sonnenmassen werden zu </t>
  </si>
  <si>
    <t xml:space="preserve">Elektronen in die Atomkerne gedrückt werden und die Protonen in neutrale Neutronen verwandeln, </t>
  </si>
  <si>
    <r>
      <t>die Dichte 3,7 - 5,9</t>
    </r>
    <r>
      <rPr>
        <b/>
        <sz val="11"/>
        <color theme="1"/>
        <rFont val="Arial"/>
        <family val="2"/>
      </rPr>
      <t>·</t>
    </r>
    <r>
      <rPr>
        <sz val="11"/>
        <color theme="1"/>
        <rFont val="Arial"/>
        <family val="2"/>
      </rPr>
      <t>10</t>
    </r>
    <r>
      <rPr>
        <vertAlign val="superscript"/>
        <sz val="11"/>
        <color theme="1"/>
        <rFont val="Arial"/>
        <family val="2"/>
      </rPr>
      <t>17</t>
    </r>
    <r>
      <rPr>
        <sz val="11"/>
        <color theme="1"/>
        <rFont val="Arial"/>
        <family val="2"/>
      </rPr>
      <t xml:space="preserve"> kg /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. Ein Stecknadelkopf Materie wöge auf der Erde eine Mio. Tonnen.</t>
    </r>
  </si>
  <si>
    <r>
      <t>Die Temperatur liegt bei 10</t>
    </r>
    <r>
      <rPr>
        <vertAlign val="superscript"/>
        <sz val="11"/>
        <color theme="1"/>
        <rFont val="Arial"/>
        <family val="2"/>
      </rPr>
      <t>12</t>
    </r>
    <r>
      <rPr>
        <sz val="11"/>
        <color theme="1"/>
        <rFont val="Arial"/>
        <family val="2"/>
      </rPr>
      <t xml:space="preserve"> Mio. K. Der Vorgang spielt sich zunächst im Innern ab und nach außen </t>
    </r>
  </si>
  <si>
    <t xml:space="preserve">     Computersimuliertes Bild eines schwarzes Lochs von zehn </t>
  </si>
  <si>
    <t xml:space="preserve">     Sonnenmassen vor dem Milchstraßenhintergrund in einem </t>
  </si>
  <si>
    <t xml:space="preserve">        Abstand von 600 km aus gesehen (s. a. Tabelle TÜV).</t>
  </si>
  <si>
    <t xml:space="preserve">    →</t>
  </si>
  <si>
    <t>Bei der Entfernungsbestimmung geht es um das Messen von unterschiedlichen räumlichen Distanzen und zwar von der Lichtsekunde bis zu Milliarden von Licht-</t>
  </si>
  <si>
    <r>
      <t xml:space="preserve">jahren. Dies kann mittels </t>
    </r>
    <r>
      <rPr>
        <b/>
        <sz val="11"/>
        <color theme="1"/>
        <rFont val="Arial"/>
        <family val="2"/>
      </rPr>
      <t>unterschiedlicher Methoden</t>
    </r>
    <r>
      <rPr>
        <sz val="11"/>
        <color theme="1"/>
        <rFont val="Arial"/>
        <family val="2"/>
      </rPr>
      <t xml:space="preserve"> erreicht werden, die sich in der Reichweite überlappen.</t>
    </r>
  </si>
  <si>
    <t xml:space="preserve">Durch die Bewegung der Erde um die Sonne verschiebt sich ein naher Stern, der von der Erde aus </t>
  </si>
  <si>
    <r>
      <t xml:space="preserve">  Die astronomische Entfernungseinheit </t>
    </r>
    <r>
      <rPr>
        <b/>
        <sz val="11"/>
        <color rgb="FF002060"/>
        <rFont val="Arial"/>
        <family val="2"/>
      </rPr>
      <t>1 Parsec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(pc)</t>
    </r>
    <r>
      <rPr>
        <sz val="11"/>
        <color rgb="FF002060"/>
        <rFont val="Arial"/>
        <family val="2"/>
      </rPr>
      <t xml:space="preserve"> ist definiert als die Entfernung eines Sterns</t>
    </r>
  </si>
  <si>
    <r>
      <t xml:space="preserve">  mit einer Parallaxe von </t>
    </r>
    <r>
      <rPr>
        <b/>
        <sz val="11"/>
        <color rgb="FF002060"/>
        <rFont val="Arial"/>
        <family val="2"/>
      </rPr>
      <t>einer Bogensekunde</t>
    </r>
    <r>
      <rPr>
        <sz val="11"/>
        <color rgb="FF002060"/>
        <rFont val="Arial"/>
        <family val="2"/>
      </rPr>
      <t xml:space="preserve">, was einer Entfernung von </t>
    </r>
    <r>
      <rPr>
        <b/>
        <sz val="11"/>
        <color rgb="FF002060"/>
        <rFont val="Arial"/>
        <family val="2"/>
      </rPr>
      <t>3,261562 Lj</t>
    </r>
    <r>
      <rPr>
        <sz val="11"/>
        <color rgb="FF002060"/>
        <rFont val="Arial"/>
        <family val="2"/>
      </rPr>
      <t xml:space="preserve"> entspricht.</t>
    </r>
  </si>
  <si>
    <r>
      <t xml:space="preserve">Kugelflächen gleicher Größe. Damit ergibt sich für die Stahlungsleistung </t>
    </r>
    <r>
      <rPr>
        <b/>
        <sz val="11"/>
        <color theme="1"/>
        <rFont val="Arial"/>
        <family val="2"/>
      </rPr>
      <t>pro m²</t>
    </r>
    <r>
      <rPr>
        <sz val="11"/>
        <color theme="1"/>
        <rFont val="Arial"/>
        <family val="2"/>
      </rPr>
      <t xml:space="preserve"> im Abstand </t>
    </r>
    <r>
      <rPr>
        <b/>
        <sz val="11"/>
        <color theme="1"/>
        <rFont val="Arial"/>
        <family val="2"/>
      </rPr>
      <t xml:space="preserve">r </t>
    </r>
    <r>
      <rPr>
        <sz val="11"/>
        <color theme="1"/>
        <rFont val="Arial"/>
        <family val="2"/>
      </rPr>
      <t>der</t>
    </r>
  </si>
  <si>
    <r>
      <t xml:space="preserve">Strahlungsstrom </t>
    </r>
    <r>
      <rPr>
        <b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zu:</t>
    </r>
  </si>
  <si>
    <t xml:space="preserve">Nach diesem Verfahren werden u. a. Entfernungsbestimmungen mit Standardkerzen realisiert. Die Helligkeit eines Himmelsobjekts, das direkt beobachtet wer- </t>
  </si>
  <si>
    <r>
      <t xml:space="preserve">hell erscheinen. Von daher gilt es nun eine </t>
    </r>
    <r>
      <rPr>
        <b/>
        <sz val="11"/>
        <color theme="1"/>
        <rFont val="Arial"/>
        <family val="2"/>
      </rPr>
      <t>absolute</t>
    </r>
    <r>
      <rPr>
        <sz val="11"/>
        <color theme="1"/>
        <rFont val="Arial"/>
        <family val="2"/>
      </rPr>
      <t xml:space="preserve"> Helligkeit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zu definieren: </t>
    </r>
  </si>
  <si>
    <r>
      <t xml:space="preserve">Als Standartkerzen bezeichnet man in der Astronomie Objekte, deren absolute Helligkeit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man entweder direkt messen kann oder über direkt messbare Para-</t>
    </r>
  </si>
  <si>
    <r>
      <t xml:space="preserve">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und absoluter Helligkeit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besteht folgender Zusammenhang, der als </t>
    </r>
    <r>
      <rPr>
        <b/>
        <sz val="11"/>
        <color theme="1"/>
        <rFont val="Arial"/>
        <family val="2"/>
      </rPr>
      <t>Entfernungsmodul m - M</t>
    </r>
    <r>
      <rPr>
        <sz val="11"/>
        <color theme="1"/>
        <rFont val="Arial"/>
        <family val="2"/>
      </rPr>
      <t xml:space="preserve"> bzeichnet wird:</t>
    </r>
  </si>
  <si>
    <t xml:space="preserve">                                          1868 - 1921</t>
  </si>
  <si>
    <t xml:space="preserve">                                           Henrietta Swan Leavitt</t>
  </si>
  <si>
    <r>
      <rPr>
        <b/>
        <sz val="11"/>
        <color theme="1"/>
        <rFont val="Arial"/>
        <family val="2"/>
      </rPr>
      <t>Novae</t>
    </r>
    <r>
      <rPr>
        <sz val="11"/>
        <color theme="1"/>
        <rFont val="Arial"/>
        <family val="2"/>
      </rPr>
      <t xml:space="preserve"> gibt es nur in </t>
    </r>
    <r>
      <rPr>
        <b/>
        <sz val="11"/>
        <color theme="1"/>
        <rFont val="Arial"/>
        <family val="2"/>
      </rPr>
      <t>engen</t>
    </r>
    <r>
      <rPr>
        <sz val="11"/>
        <color theme="1"/>
        <rFont val="Arial"/>
        <family val="2"/>
      </rPr>
      <t xml:space="preserve"> Doppelsternsystemen, bei denen im Normalfall einer der beiden Sterne </t>
    </r>
  </si>
  <si>
    <r>
      <t xml:space="preserve">ein </t>
    </r>
    <r>
      <rPr>
        <b/>
        <sz val="11"/>
        <color theme="1"/>
        <rFont val="Arial"/>
        <family val="2"/>
      </rPr>
      <t>Weißer Zwerg</t>
    </r>
    <r>
      <rPr>
        <sz val="11"/>
        <color theme="1"/>
        <rFont val="Arial"/>
        <family val="2"/>
      </rPr>
      <t xml:space="preserve"> ist und der andere sich in der Entstehungsphase zum Roten Riesen befindet und </t>
    </r>
  </si>
  <si>
    <t xml:space="preserve">sich allmählich aufbläht und so seine Hülle in den Gravitationsbereich des weißen Zwerges gelangt. </t>
  </si>
  <si>
    <t xml:space="preserve">Der zieht wasserstoffreiches Gas vom Stern ab und sammelt es auf seiner Oberfläche an (Akkretion). </t>
  </si>
  <si>
    <t xml:space="preserve">Infolge steigt der Gravitationsdruck und es kommt zur Kernfusion in der äußeren Schale des Zwergs. </t>
  </si>
  <si>
    <t xml:space="preserve">Bei hohen Temperaturen kann auch der CNO-Zyklus ablaufen. Dabei wird Materie ins All gestoßen </t>
  </si>
  <si>
    <t xml:space="preserve">Novae können sich in Abständen von einigen Monaten bis zu einigen Mio. Jahren wiederholen, weil </t>
  </si>
  <si>
    <t xml:space="preserve">vorübergehend auf das 150.000 fache an. </t>
  </si>
  <si>
    <t>der Weiße Zwerg den Abstoß der Gashüllen überlebt. Die von ihm aufgenommene Masse reicht je-</t>
  </si>
  <si>
    <r>
      <t xml:space="preserve">Von daher entsteht </t>
    </r>
    <r>
      <rPr>
        <b/>
        <sz val="11"/>
        <color theme="1"/>
        <rFont val="Arial"/>
        <family val="2"/>
      </rPr>
      <t>kein</t>
    </r>
    <r>
      <rPr>
        <sz val="11"/>
        <color theme="1"/>
        <rFont val="Arial"/>
        <family val="2"/>
      </rPr>
      <t xml:space="preserve"> Neutronenstern.  </t>
    </r>
    <r>
      <rPr>
        <b/>
        <sz val="11"/>
        <color rgb="FF002060"/>
        <rFont val="Arial"/>
        <family val="2"/>
      </rPr>
      <t xml:space="preserve">  Anmerkung:</t>
    </r>
    <r>
      <rPr>
        <sz val="11"/>
        <color rgb="FF002060"/>
        <rFont val="Arial"/>
        <family val="2"/>
      </rPr>
      <t xml:space="preserve"> Das Phänomen Nova (lat. neu), hielt man </t>
    </r>
  </si>
  <si>
    <t>früher für einen neuen Stern, weil der Helligkeitsausbruch dort erschien, wo man vorher nichts sah.</t>
  </si>
  <si>
    <t xml:space="preserve">doch nicht aus, um die Chandrasekhar-Grenze von 1,44 Sonnenmassen zu überschreiten (s. S. 5). </t>
  </si>
  <si>
    <r>
      <rPr>
        <b/>
        <sz val="11"/>
        <color rgb="FF002060"/>
        <rFont val="Arial"/>
        <family val="2"/>
      </rPr>
      <t>Supernova Typ I</t>
    </r>
    <r>
      <rPr>
        <sz val="11"/>
        <color rgb="FF002060"/>
        <rFont val="Arial"/>
        <family val="2"/>
      </rPr>
      <t xml:space="preserve"> </t>
    </r>
    <r>
      <rPr>
        <sz val="11"/>
        <color theme="1"/>
        <rFont val="Arial"/>
        <family val="2"/>
      </rPr>
      <t>entsteht, wie eine Nova auch, in engen Doppelsternsystemen. Aber der weiße Zwerg nimmt mehr Materie auf, so dass seine Kernmasse 1,44</t>
    </r>
  </si>
  <si>
    <t>hat eine solche Explosion katastrophale Auswirkungen für das Leben, zumindest wie wir es kennen, in einem Umkreis von 50 Lj.</t>
  </si>
  <si>
    <r>
      <t>Bei einer</t>
    </r>
    <r>
      <rPr>
        <sz val="12"/>
        <color theme="1"/>
        <rFont val="Arial"/>
        <family val="2"/>
      </rPr>
      <t xml:space="preserve"> </t>
    </r>
    <r>
      <rPr>
        <b/>
        <sz val="14"/>
        <color rgb="FF002060"/>
        <rFont val="Arial"/>
        <family val="2"/>
      </rPr>
      <t>Supernova</t>
    </r>
    <r>
      <rPr>
        <sz val="11"/>
        <color theme="1"/>
        <rFont val="Arial"/>
        <family val="2"/>
      </rPr>
      <t xml:space="preserve"> explodieren Sterne von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mehr als 1,44 Sonnen-Restmassen</t>
    </r>
    <r>
      <rPr>
        <sz val="11"/>
        <color theme="1"/>
        <rFont val="Arial"/>
        <family val="2"/>
      </rPr>
      <t xml:space="preserve"> (3 bis 8 Sonnenmassen). Prizipiell werden zwei Typen unterschieden:</t>
    </r>
  </si>
  <si>
    <t xml:space="preserve">und der Weiße Zwerg leuchtet für kurze Zeit hell auf. Diese Helligkeit steigt bei einer typischen Nova </t>
  </si>
  <si>
    <t xml:space="preserve">der Weiße Zwerg gerade die kritische Massengrenze (1,44 Sonnenmassen) übersteigt wird er instabil, und die gesamte Konfiguration wird zerrissen. Mit dem </t>
  </si>
  <si>
    <r>
      <t xml:space="preserve">Sonnenmassen übersteigt und er zu einem </t>
    </r>
    <r>
      <rPr>
        <b/>
        <sz val="11"/>
        <color rgb="FF002060"/>
        <rFont val="Arial"/>
        <family val="2"/>
      </rPr>
      <t>Neutronenstern</t>
    </r>
    <r>
      <rPr>
        <sz val="11"/>
        <color theme="1"/>
        <rFont val="Arial"/>
        <family val="2"/>
      </rPr>
      <t xml:space="preserve"> kollabiert. Supernovae vom Typ I sind die hellsten Novae überhaupt, und können auch in weit ent-</t>
    </r>
  </si>
  <si>
    <t xml:space="preserve">fernten Galaxien beobachtet werden.  Im Extremfall wird die Helligkeit der gesamten Galaxie überstrahlt. Der Energieausstoß in Form von Strahlung (Neutrinos, </t>
  </si>
  <si>
    <t xml:space="preserve">Licht-, Gammastrahlung) ist gewaltig. Die Schockwelle zerreißt den alten Stern und alles was sich in seiner näheren Umgebung befindet. Wegen der Strahlung </t>
  </si>
  <si>
    <r>
      <rPr>
        <b/>
        <sz val="11"/>
        <color rgb="FF002060"/>
        <rFont val="Arial"/>
        <family val="2"/>
      </rPr>
      <t>Supernova Typ Ia</t>
    </r>
    <r>
      <rPr>
        <sz val="11"/>
        <color theme="1"/>
        <rFont val="Arial"/>
        <family val="2"/>
      </rPr>
      <t xml:space="preserve"> sind gute </t>
    </r>
    <r>
      <rPr>
        <b/>
        <sz val="11"/>
        <color rgb="FF002060"/>
        <rFont val="Arial"/>
        <family val="2"/>
      </rPr>
      <t>Standardkerzen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für die Entfernungsbestimmung, weil dieser Explosionsvorgang immer nach demselben Schema abläuft. Wenn</t>
    </r>
  </si>
  <si>
    <r>
      <rPr>
        <b/>
        <sz val="11"/>
        <color rgb="FF002060"/>
        <rFont val="Arial"/>
        <family val="2"/>
      </rPr>
      <t>Supernova Typ II</t>
    </r>
    <r>
      <rPr>
        <sz val="11"/>
        <color theme="1"/>
        <rFont val="Arial"/>
        <family val="2"/>
      </rPr>
      <t xml:space="preserve"> entsteht wenn ein Roter Überriese ( </t>
    </r>
    <r>
      <rPr>
        <b/>
        <sz val="11"/>
        <color theme="1"/>
        <rFont val="Arial"/>
        <family val="2"/>
      </rPr>
      <t>&gt; 8 Sonnenmassen</t>
    </r>
    <r>
      <rPr>
        <sz val="11"/>
        <color theme="1"/>
        <rFont val="Arial"/>
        <family val="2"/>
      </rPr>
      <t>) nach Verbrauch des nuklearen Brennstoffs am Ende sei-</t>
    </r>
  </si>
  <si>
    <r>
      <t xml:space="preserve">seines Lebens angekommen ist und in einer gewaltigen Explosion zu einem </t>
    </r>
    <r>
      <rPr>
        <b/>
        <sz val="11"/>
        <color rgb="FF002060"/>
        <rFont val="Arial"/>
        <family val="2"/>
      </rPr>
      <t>Neutronenstern</t>
    </r>
    <r>
      <rPr>
        <sz val="11"/>
        <color rgb="FF002060"/>
        <rFont val="Arial"/>
        <family val="2"/>
      </rPr>
      <t xml:space="preserve"> (Pulsar)</t>
    </r>
    <r>
      <rPr>
        <sz val="11"/>
        <color theme="1"/>
        <rFont val="Arial"/>
        <family val="2"/>
      </rPr>
      <t xml:space="preserve"> oder zu einem </t>
    </r>
    <r>
      <rPr>
        <b/>
        <sz val="11"/>
        <color rgb="FF002060"/>
        <rFont val="Arial"/>
        <family val="2"/>
      </rPr>
      <t xml:space="preserve">Schwarzen Loch </t>
    </r>
  </si>
  <si>
    <t xml:space="preserve">kollabiert. Dies geschieht innerhalb weniger Sekunden. Dabei kann die Helligkeit des Sterns vorübergehend auf das 100 Millionenfache </t>
  </si>
  <si>
    <t>ansteigen. Die Supernova bedeutet das Ende des klassischen Vorläufersterns (Sternentod). Es findet ein Übergang in eine stabile End-</t>
  </si>
  <si>
    <t xml:space="preserve">konfiguration statt: 1,5 bis 3 Sonnen(rest)massen Neutronenstern, darüber hinaus Kollaps zu einem punktförmigen Objekt (Singularität) </t>
  </si>
  <si>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Schwarzes Loch</t>
    </r>
    <r>
      <rPr>
        <sz val="11"/>
        <color theme="1"/>
        <rFont val="Arial"/>
        <family val="2"/>
      </rPr>
      <t xml:space="preserve">. Die damit assoziierte Sternenexplosion heißt </t>
    </r>
    <r>
      <rPr>
        <b/>
        <sz val="11"/>
        <color rgb="FF002060"/>
        <rFont val="Arial"/>
        <family val="2"/>
      </rPr>
      <t>Hypernova</t>
    </r>
    <r>
      <rPr>
        <sz val="11"/>
        <color theme="1"/>
        <rFont val="Arial"/>
        <family val="2"/>
      </rPr>
      <t xml:space="preserve"> oder langer Gamma Ray Burst.</t>
    </r>
  </si>
  <si>
    <r>
      <t xml:space="preserve">chemischen Elementen richtet sich nach der Dichte (hohe Dichte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Nickel und Eisen, geringere Dichte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Silizium). Die absolute Helligkeit streut nur gering </t>
    </r>
  </si>
  <si>
    <t xml:space="preserve">Erreichen der Chandrasekhar-Grenze bilden sich in seinem Innern Inseln, in denen eine thermonukleare Verbrennung einsetzt. Die Synthetisierung von neuen </t>
  </si>
  <si>
    <r>
      <t>Leuchtkraft der Sonne L</t>
    </r>
    <r>
      <rPr>
        <vertAlign val="subscript"/>
        <sz val="11"/>
        <color theme="1"/>
        <rFont val="Arial"/>
        <family val="2"/>
      </rPr>
      <t>Sonne</t>
    </r>
    <r>
      <rPr>
        <sz val="11"/>
        <color theme="1"/>
        <rFont val="Arial"/>
        <family val="2"/>
      </rPr>
      <t xml:space="preserve"> = </t>
    </r>
  </si>
  <si>
    <r>
      <t>Abs. Helligkeit der Sonne M</t>
    </r>
    <r>
      <rPr>
        <vertAlign val="subscript"/>
        <sz val="11"/>
        <color theme="1"/>
        <rFont val="Arial"/>
        <family val="2"/>
      </rPr>
      <t>Sonne</t>
    </r>
    <r>
      <rPr>
        <sz val="11"/>
        <color theme="1"/>
        <rFont val="Arial"/>
        <family val="2"/>
      </rPr>
      <t xml:space="preserve"> = </t>
    </r>
  </si>
  <si>
    <t>Mit Erklärung: Was sind Novae, Supernovae Typ I / II und Hypernovae?</t>
  </si>
  <si>
    <t>[Lm]</t>
  </si>
  <si>
    <t>[Mio. km]</t>
  </si>
  <si>
    <t xml:space="preserve">                                              *) Gasplanet    **) Gesteinsplanet</t>
  </si>
  <si>
    <t>Leuchtkraft der Sonne:</t>
  </si>
  <si>
    <t>Absolute Helligkeit der Sonne:</t>
  </si>
  <si>
    <r>
      <t xml:space="preserve">meter berechnen kann. Dann kann anhand ihrer scheinbaren Helligkeit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auf die Entfernung dieser Objekte geschlossen werden. Zwischen scheinbarer Hellig-</t>
    </r>
  </si>
  <si>
    <t xml:space="preserve">   1,4 % vom o. a. Literatur-Wert von 26,196 MeV)</t>
  </si>
  <si>
    <r>
      <t xml:space="preserve">wird, in Form von Licht- und Teilchenstrahlung. Das ist bis jetzt aber </t>
    </r>
    <r>
      <rPr>
        <b/>
        <sz val="11"/>
        <color theme="1"/>
        <rFont val="Arial"/>
        <family val="2"/>
      </rPr>
      <t>nur</t>
    </r>
    <r>
      <rPr>
        <b/>
        <sz val="11"/>
        <rFont val="Arial"/>
        <family val="2"/>
      </rPr>
      <t xml:space="preserve"> 0,1 </t>
    </r>
    <r>
      <rPr>
        <b/>
        <sz val="11"/>
        <color theme="1"/>
        <rFont val="Arial"/>
        <family val="2"/>
      </rPr>
      <t>%</t>
    </r>
    <r>
      <rPr>
        <sz val="11"/>
        <color theme="1"/>
        <rFont val="Arial"/>
        <family val="2"/>
      </rPr>
      <t xml:space="preserve"> der Sonnenmasse.</t>
    </r>
  </si>
  <si>
    <t xml:space="preserve"> W; J/s </t>
  </si>
  <si>
    <t>Diese Vorgänge werden als "Schalenbrennen" bezeichnet.</t>
  </si>
  <si>
    <r>
      <t>R</t>
    </r>
    <r>
      <rPr>
        <vertAlign val="subscript"/>
        <sz val="10"/>
        <color theme="1"/>
        <rFont val="Arial"/>
        <family val="2"/>
      </rPr>
      <t>S</t>
    </r>
    <r>
      <rPr>
        <sz val="10"/>
        <color theme="1"/>
        <rFont val="Arial"/>
        <family val="2"/>
      </rPr>
      <t xml:space="preserve"> für die Sonne ergibt ca. 3 km. Somit errechnet sich die Größe eines Schwarzen Lochs</t>
    </r>
  </si>
  <si>
    <t>Cavendish-Waage</t>
  </si>
  <si>
    <t>Grafik: hydrogen.physik.uni-</t>
  </si>
  <si>
    <t>Grafiken: hydrogen.physik.uni-</t>
  </si>
  <si>
    <r>
      <t xml:space="preserve">Atomverband entrissen werden kann (Ionisierung), muss dessen Gesamternergie gleich Null sein  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   E</t>
    </r>
    <r>
      <rPr>
        <vertAlign val="subscript"/>
        <sz val="11"/>
        <color theme="1"/>
        <rFont val="Arial"/>
        <family val="2"/>
      </rPr>
      <t>ges</t>
    </r>
    <r>
      <rPr>
        <sz val="11"/>
        <color theme="1"/>
        <rFont val="Arial"/>
        <family val="2"/>
      </rPr>
      <t xml:space="preserve"> = E</t>
    </r>
    <r>
      <rPr>
        <vertAlign val="subscript"/>
        <sz val="11"/>
        <color theme="1"/>
        <rFont val="Arial"/>
        <family val="2"/>
      </rPr>
      <t>kin</t>
    </r>
    <r>
      <rPr>
        <sz val="11"/>
        <color theme="1"/>
        <rFont val="Arial"/>
        <family val="2"/>
      </rPr>
      <t xml:space="preserve"> + E</t>
    </r>
    <r>
      <rPr>
        <vertAlign val="subscript"/>
        <sz val="11"/>
        <color theme="1"/>
        <rFont val="Arial"/>
        <family val="2"/>
      </rPr>
      <t>pot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= 0    </t>
    </r>
    <r>
      <rPr>
        <sz val="11"/>
        <color theme="1"/>
        <rFont val="Calibri"/>
        <family val="2"/>
      </rPr>
      <t xml:space="preserve">→  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</t>
    </r>
    <r>
      <rPr>
        <b/>
        <vertAlign val="subscript"/>
        <sz val="11"/>
        <color theme="1"/>
        <rFont val="Arial"/>
        <family val="2"/>
      </rPr>
      <t>kin</t>
    </r>
    <r>
      <rPr>
        <b/>
        <sz val="11"/>
        <color theme="1"/>
        <rFont val="Arial"/>
        <family val="2"/>
      </rPr>
      <t xml:space="preserve"> = </t>
    </r>
    <r>
      <rPr>
        <b/>
        <sz val="11"/>
        <color theme="1"/>
        <rFont val="Calibri"/>
        <family val="2"/>
      </rPr>
      <t xml:space="preserve">− </t>
    </r>
    <r>
      <rPr>
        <b/>
        <sz val="11"/>
        <color theme="1"/>
        <rFont val="Arial"/>
        <family val="2"/>
      </rPr>
      <t>E</t>
    </r>
    <r>
      <rPr>
        <b/>
        <vertAlign val="subscript"/>
        <sz val="11"/>
        <color theme="1"/>
        <rFont val="Arial"/>
        <family val="2"/>
      </rPr>
      <t>pot</t>
    </r>
    <r>
      <rPr>
        <sz val="11"/>
        <color theme="1"/>
        <rFont val="Arial"/>
        <family val="2"/>
      </rPr>
      <t>!</t>
    </r>
  </si>
  <si>
    <r>
      <t>sich die Elekronen mit einer bestimmten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Wahrscheinlichkeit aufhalten. Die Entwicklung der Mathematik hierzu </t>
    </r>
  </si>
  <si>
    <t>wurde durch Werner Heisenberg iniziiert und schließlich zusammen mit Max Born und Pascal Jordan im Jahre</t>
  </si>
  <si>
    <r>
      <t xml:space="preserve">1926 in einer "Dreimännerarbeit" als </t>
    </r>
    <r>
      <rPr>
        <b/>
        <sz val="11"/>
        <color rgb="FF002060"/>
        <rFont val="Arial"/>
        <family val="2"/>
      </rPr>
      <t>Matrizenmechanik</t>
    </r>
    <r>
      <rPr>
        <sz val="11"/>
        <color rgb="FF002060"/>
        <rFont val="Arial"/>
        <family val="2"/>
      </rPr>
      <t xml:space="preserve"> formuliert. </t>
    </r>
  </si>
  <si>
    <r>
      <t xml:space="preserve">Das Planckgesetz beschreibt die </t>
    </r>
    <r>
      <rPr>
        <b/>
        <sz val="10"/>
        <color rgb="FF002060"/>
        <rFont val="Arial"/>
        <family val="2"/>
      </rPr>
      <t xml:space="preserve">spektrale Intensitätsdichte I </t>
    </r>
    <r>
      <rPr>
        <sz val="10"/>
        <color rgb="FF002060"/>
        <rFont val="Arial"/>
        <family val="2"/>
      </rPr>
      <t xml:space="preserve">als Funktion </t>
    </r>
  </si>
  <si>
    <t>Gravitationskraft:</t>
  </si>
  <si>
    <t>Differenz =</t>
  </si>
  <si>
    <t>dies entspricht m =</t>
  </si>
  <si>
    <t xml:space="preserve">Die absolute Helligkeit entspricht der scheinbaren Helligkeit die ein Objekt hätte, wenn es genau 10 pc (= 32,6156 Lj) von der Erde entfernt wäre. </t>
  </si>
  <si>
    <t xml:space="preserve">Jahre). Die energiereiche Strahlung lässt den Stern blau leuchten. Aus </t>
  </si>
  <si>
    <t>haben bis zu 50 Sonnenmassen und auch schon mal mehr. Wegen des</t>
  </si>
  <si>
    <t>hohen Gravitaionsdrucks läuft die Kernfusion schnell ab (einige 10 Mio.</t>
  </si>
  <si>
    <r>
      <rPr>
        <b/>
        <sz val="11"/>
        <color theme="9" tint="-0.499984740745262"/>
        <rFont val="Arial"/>
        <family val="2"/>
      </rPr>
      <t>*)</t>
    </r>
    <r>
      <rPr>
        <sz val="11"/>
        <color theme="1"/>
        <rFont val="Arial"/>
        <family val="2"/>
      </rPr>
      <t xml:space="preserve"> Sterne  &lt; 0,08 Sonnenmasse (20 bis 30 Jupitermassen) werden als </t>
    </r>
    <r>
      <rPr>
        <b/>
        <sz val="11"/>
        <color rgb="FF990033"/>
        <rFont val="Arial"/>
        <family val="2"/>
      </rPr>
      <t/>
    </r>
  </si>
  <si>
    <r>
      <t xml:space="preserve">Größe des Universums in der Zeit </t>
    </r>
    <r>
      <rPr>
        <b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verdoppelt, dann hat sich die Wellenlänge des Lichts auch verdoppelt, d. h. das Licht hat sich mit der Ausdehnung des Weltraums mit aus-</t>
    </r>
  </si>
  <si>
    <r>
      <t xml:space="preserve">(Beitrag basiert auf </t>
    </r>
    <r>
      <rPr>
        <u/>
        <sz val="10"/>
        <color theme="9" tint="-0.499984740745262"/>
        <rFont val="Arial"/>
        <family val="2"/>
      </rPr>
      <t>sternwarte-eberling.de</t>
    </r>
    <r>
      <rPr>
        <sz val="10"/>
        <color theme="1"/>
        <rFont val="Arial"/>
        <family val="2"/>
      </rPr>
      <t>)</t>
    </r>
  </si>
  <si>
    <r>
      <t xml:space="preserve">Wellenlängen ergeben sich zu große Werte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</t>
    </r>
    <r>
      <rPr>
        <b/>
        <sz val="10"/>
        <color rgb="FF7030A0"/>
        <rFont val="Arial"/>
        <family val="2"/>
      </rPr>
      <t>Ultraviolett- Katastrophe</t>
    </r>
    <r>
      <rPr>
        <sz val="10"/>
        <color rgb="FFC00000"/>
        <rFont val="Arial"/>
        <family val="2"/>
      </rPr>
      <t>.</t>
    </r>
  </si>
  <si>
    <t xml:space="preserve">Vergrößert sich die Temperatur eines Schwarzen Strahlers, dann vergrößert sich </t>
  </si>
  <si>
    <t xml:space="preserve">zu kürzeren Wellenlängen hin. Dabei zeigt sich, dass beim Maximum der Planck- </t>
  </si>
  <si>
    <t xml:space="preserve">schen Strahlungsformel bzw.-kurve das Produkt aus Wellenlänge und Temperatur </t>
  </si>
  <si>
    <t>max. Wellenlänge:</t>
  </si>
  <si>
    <r>
      <t xml:space="preserve">gibt an, welche Strahlungsleistung </t>
    </r>
    <r>
      <rPr>
        <b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ein Schwarzer Körper der Fläche A und der </t>
    </r>
  </si>
  <si>
    <r>
      <t xml:space="preserve">wie auch Δp </t>
    </r>
    <r>
      <rPr>
        <b/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Δx </t>
    </r>
    <r>
      <rPr>
        <b/>
        <sz val="11"/>
        <color rgb="FF002060"/>
        <rFont val="Calibri"/>
        <family val="2"/>
      </rPr>
      <t>≈</t>
    </r>
    <r>
      <rPr>
        <sz val="10"/>
        <color rgb="FF002060"/>
        <rFont val="Arial"/>
        <family val="2"/>
      </rPr>
      <t xml:space="preserve"> h (Verwendung De Broglie </t>
    </r>
    <r>
      <rPr>
        <sz val="10"/>
        <color rgb="FF002060"/>
        <rFont val="Calibri"/>
        <family val="2"/>
      </rPr>
      <t>λ = h / p).</t>
    </r>
  </si>
  <si>
    <t xml:space="preserve">ständen. Ein Ereignis in einem Bezugssystem kann durch eine Zeit- und drei Raumkoordinaten fixiert werden, d. h. zum Zeitpunkt t ist der Gegenstand am Ort (x,y,z). Der Ort </t>
  </si>
  <si>
    <r>
      <t>Wellenlänge λ</t>
    </r>
    <r>
      <rPr>
        <vertAlign val="subscript"/>
        <sz val="10"/>
        <color rgb="FF002060"/>
        <rFont val="Arial"/>
        <family val="2"/>
      </rPr>
      <t>max</t>
    </r>
    <r>
      <rPr>
        <sz val="10"/>
        <color rgb="FF002060"/>
        <rFont val="Arial"/>
        <family val="2"/>
      </rPr>
      <t xml:space="preserve"> = 483 nm </t>
    </r>
    <r>
      <rPr>
        <sz val="10"/>
        <color rgb="FF002060"/>
        <rFont val="Calibri"/>
        <family val="2"/>
      </rPr>
      <t xml:space="preserve">→ </t>
    </r>
    <r>
      <rPr>
        <sz val="10"/>
        <color rgb="FF002060"/>
        <rFont val="Arial"/>
        <family val="2"/>
      </rPr>
      <t xml:space="preserve">T = 6000 K | 580 nm  </t>
    </r>
    <r>
      <rPr>
        <sz val="10"/>
        <color rgb="FF002060"/>
        <rFont val="Calibri"/>
        <family val="2"/>
        <scheme val="minor"/>
      </rPr>
      <t>→</t>
    </r>
    <r>
      <rPr>
        <sz val="10"/>
        <color rgb="FF002060"/>
        <rFont val="Arial"/>
        <family val="2"/>
      </rPr>
      <t xml:space="preserve"> 5000 K | 724 nm </t>
    </r>
    <r>
      <rPr>
        <sz val="10"/>
        <color rgb="FF002060"/>
        <rFont val="Calibri"/>
        <family val="2"/>
        <scheme val="minor"/>
      </rPr>
      <t>→</t>
    </r>
    <r>
      <rPr>
        <sz val="10"/>
        <color rgb="FF002060"/>
        <rFont val="Arial"/>
        <family val="2"/>
      </rPr>
      <t xml:space="preserve"> 4000 K (infrarot).</t>
    </r>
  </si>
  <si>
    <r>
      <t xml:space="preserve">Zeitspanne: 1 h / Lichtquelle </t>
    </r>
    <r>
      <rPr>
        <sz val="11"/>
        <color rgb="FF002060"/>
        <rFont val="Calibri"/>
        <family val="2"/>
      </rPr>
      <t>λ</t>
    </r>
    <r>
      <rPr>
        <sz val="11"/>
        <color rgb="FF002060"/>
        <rFont val="Arial"/>
        <family val="2"/>
      </rPr>
      <t xml:space="preserve"> = 550 nm</t>
    </r>
  </si>
  <si>
    <r>
      <rPr>
        <sz val="12"/>
        <color theme="1"/>
        <rFont val="Arial"/>
        <family val="2"/>
      </rPr>
      <t>λ</t>
    </r>
    <r>
      <rPr>
        <vertAlign val="subscript"/>
        <sz val="12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= </t>
    </r>
  </si>
  <si>
    <r>
      <rPr>
        <sz val="12"/>
        <color theme="1"/>
        <rFont val="Arial"/>
        <family val="2"/>
      </rPr>
      <t>λ</t>
    </r>
    <r>
      <rPr>
        <vertAlign val="subscript"/>
        <sz val="12"/>
        <color theme="1"/>
        <rFont val="Arial"/>
        <family val="2"/>
      </rPr>
      <t>O%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</si>
  <si>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1"/>
        <color theme="1"/>
        <rFont val="Arial"/>
        <family val="2"/>
      </rPr>
      <t>O%</t>
    </r>
    <r>
      <rPr>
        <sz val="11"/>
        <color theme="1"/>
        <rFont val="Arial"/>
        <family val="2"/>
      </rPr>
      <t xml:space="preserve"> = </t>
    </r>
  </si>
  <si>
    <r>
      <t>f</t>
    </r>
    <r>
      <rPr>
        <vertAlign val="subscript"/>
        <sz val="11"/>
        <color theme="1"/>
        <rFont val="Arial"/>
        <family val="2"/>
      </rPr>
      <t>O</t>
    </r>
    <r>
      <rPr>
        <sz val="11"/>
        <color theme="1"/>
        <rFont val="Arial"/>
        <family val="2"/>
      </rPr>
      <t xml:space="preserve"> = </t>
    </r>
  </si>
  <si>
    <t>Wellenlänge einer Lichtquelle (Sender):</t>
  </si>
  <si>
    <t>Frequenz der Lichtquelle (Sender):</t>
  </si>
  <si>
    <r>
      <t xml:space="preserve">Bezogen auf </t>
    </r>
    <r>
      <rPr>
        <b/>
        <sz val="11"/>
        <color theme="1"/>
        <rFont val="Arial"/>
        <family val="2"/>
      </rPr>
      <t>die Erde</t>
    </r>
    <r>
      <rPr>
        <sz val="11"/>
        <color theme="1"/>
        <rFont val="Arial"/>
        <family val="2"/>
      </rPr>
      <t xml:space="preserve"> besagt der ART-Faktor, dass die Zeit im gravitationsfreien Weltall </t>
    </r>
    <r>
      <rPr>
        <b/>
        <sz val="11"/>
        <color theme="1"/>
        <rFont val="Arial"/>
        <family val="2"/>
      </rPr>
      <t>1,00000000696 mal</t>
    </r>
    <r>
      <rPr>
        <sz val="11"/>
        <color theme="1"/>
        <rFont val="Arial"/>
        <family val="2"/>
      </rPr>
      <t xml:space="preserve"> schneller vergeht als auf der Erde selbst.</t>
    </r>
  </si>
  <si>
    <r>
      <t xml:space="preserve">Wellenlänge </t>
    </r>
    <r>
      <rPr>
        <b/>
        <sz val="11"/>
        <color rgb="FF0070C0"/>
        <rFont val="Arial"/>
        <family val="2"/>
      </rPr>
      <t>ankommender</t>
    </r>
    <r>
      <rPr>
        <sz val="11"/>
        <rFont val="Arial"/>
        <family val="2"/>
      </rPr>
      <t xml:space="preserve"> Licht-Wellen aus dem All a</t>
    </r>
    <r>
      <rPr>
        <sz val="11"/>
        <color theme="1"/>
        <rFont val="Arial"/>
        <family val="2"/>
      </rPr>
      <t>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</si>
  <si>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t xml:space="preserve">Frequenz </t>
    </r>
    <r>
      <rPr>
        <b/>
        <sz val="11"/>
        <color rgb="FF0070C0"/>
        <rFont val="Arial"/>
        <family val="2"/>
      </rPr>
      <t>ankommender</t>
    </r>
    <r>
      <rPr>
        <sz val="11"/>
        <rFont val="Arial"/>
        <family val="2"/>
      </rPr>
      <t xml:space="preserve"> Licht-Wellen aus dem All a</t>
    </r>
    <r>
      <rPr>
        <sz val="11"/>
        <color theme="1"/>
        <rFont val="Arial"/>
        <family val="2"/>
      </rPr>
      <t>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</si>
  <si>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t>Eine Zeitspanne im gravitationsfreien Weltraum</t>
    </r>
    <r>
      <rPr>
        <b/>
        <sz val="10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(</t>
    </r>
    <r>
      <rPr>
        <b/>
        <sz val="11"/>
        <color rgb="FF002060"/>
        <rFont val="Calibri"/>
        <family val="2"/>
      </rPr>
      <t>Δ</t>
    </r>
    <r>
      <rPr>
        <b/>
        <sz val="10"/>
        <color rgb="FF002060"/>
        <rFont val="Arial"/>
        <family val="2"/>
      </rPr>
      <t>T</t>
    </r>
    <r>
      <rPr>
        <b/>
        <vertAlign val="subscript"/>
        <sz val="14"/>
        <color rgb="FF002060"/>
        <rFont val="Arial"/>
        <family val="2"/>
      </rPr>
      <t>∞</t>
    </r>
    <r>
      <rPr>
        <b/>
        <sz val="10"/>
        <color rgb="FF002060"/>
        <rFont val="Arial"/>
        <family val="2"/>
      </rPr>
      <t>)</t>
    </r>
    <r>
      <rPr>
        <sz val="10"/>
        <color rgb="FF002060"/>
        <rFont val="Arial"/>
        <family val="2"/>
      </rPr>
      <t xml:space="preserve"> verkürzt sich am Radius RV um den </t>
    </r>
  </si>
  <si>
    <r>
      <t>Faktor γ</t>
    </r>
    <r>
      <rPr>
        <vertAlign val="subscript"/>
        <sz val="10"/>
        <color rgb="FF002060"/>
        <rFont val="Arial"/>
        <family val="2"/>
      </rPr>
      <t>G</t>
    </r>
    <r>
      <rPr>
        <sz val="10"/>
        <color rgb="FF002060"/>
        <rFont val="Arial"/>
        <family val="2"/>
      </rPr>
      <t xml:space="preserve"> auf die Ortszeitspanne</t>
    </r>
    <r>
      <rPr>
        <b/>
        <sz val="10"/>
        <color rgb="FF002060"/>
        <rFont val="Arial"/>
        <family val="2"/>
      </rPr>
      <t xml:space="preserve"> (</t>
    </r>
    <r>
      <rPr>
        <b/>
        <sz val="11"/>
        <color rgb="FF002060"/>
        <rFont val="Calibri"/>
        <family val="2"/>
      </rPr>
      <t>Δ</t>
    </r>
    <r>
      <rPr>
        <b/>
        <sz val="10"/>
        <color rgb="FF002060"/>
        <rFont val="Arial"/>
        <family val="2"/>
      </rPr>
      <t>T</t>
    </r>
    <r>
      <rPr>
        <b/>
        <vertAlign val="subscript"/>
        <sz val="10"/>
        <color rgb="FF002060"/>
        <rFont val="Arial"/>
        <family val="2"/>
      </rPr>
      <t>O</t>
    </r>
    <r>
      <rPr>
        <b/>
        <sz val="10"/>
        <color rgb="FF002060"/>
        <rFont val="Arial"/>
        <family val="2"/>
      </rPr>
      <t>)</t>
    </r>
    <r>
      <rPr>
        <sz val="10"/>
        <color rgb="FF002060"/>
        <rFont val="Arial"/>
        <family val="2"/>
      </rPr>
      <t xml:space="preserve"> in radialer Richtung.</t>
    </r>
  </si>
  <si>
    <t>Gravitations-Zeitdilatation (Näherung)</t>
  </si>
  <si>
    <t>Längenkontraktion im Gravitationsfeld (Näherung)</t>
  </si>
  <si>
    <r>
      <t>Gravitatations-</t>
    </r>
    <r>
      <rPr>
        <b/>
        <sz val="11"/>
        <color rgb="FFC00000"/>
        <rFont val="Arial"/>
        <family val="2"/>
      </rPr>
      <t>Rotverschiebung</t>
    </r>
    <r>
      <rPr>
        <b/>
        <sz val="11"/>
        <color rgb="FF002060"/>
        <rFont val="Arial"/>
        <family val="2"/>
      </rPr>
      <t xml:space="preserve"> im Gravitationsfeld (Näherung)</t>
    </r>
  </si>
  <si>
    <r>
      <t>Gravitatations-</t>
    </r>
    <r>
      <rPr>
        <b/>
        <sz val="11"/>
        <color rgb="FF0070C0"/>
        <rFont val="Arial"/>
        <family val="2"/>
      </rPr>
      <t>Blauverschiebung</t>
    </r>
    <r>
      <rPr>
        <b/>
        <sz val="11"/>
        <color rgb="FF002060"/>
        <rFont val="Arial"/>
        <family val="2"/>
      </rPr>
      <t xml:space="preserve"> im Gravitationsfeld (Näherung)</t>
    </r>
  </si>
  <si>
    <r>
      <t>am Radius R</t>
    </r>
    <r>
      <rPr>
        <vertAlign val="subscript"/>
        <sz val="10"/>
        <color rgb="FF002060"/>
        <rFont val="Arial"/>
        <family val="2"/>
      </rPr>
      <t>V</t>
    </r>
    <r>
      <rPr>
        <sz val="10"/>
        <color rgb="FF002060"/>
        <rFont val="Arial"/>
        <family val="2"/>
      </rPr>
      <t xml:space="preserve"> um den Faktor γ</t>
    </r>
    <r>
      <rPr>
        <vertAlign val="subscript"/>
        <sz val="10"/>
        <color rgb="FF002060"/>
        <rFont val="Arial"/>
        <family val="2"/>
      </rPr>
      <t>G</t>
    </r>
    <r>
      <rPr>
        <sz val="10"/>
        <color rgb="FF002060"/>
        <rFont val="Arial"/>
        <family val="2"/>
      </rPr>
      <t xml:space="preserve"> ab bzw. zu, bezogen auf die Ursprungswerte λ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bzw. -Frequenz </t>
    </r>
    <r>
      <rPr>
        <b/>
        <sz val="10"/>
        <color rgb="FF002060"/>
        <rFont val="Arial"/>
        <family val="2"/>
      </rPr>
      <t>f</t>
    </r>
    <r>
      <rPr>
        <b/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>.</t>
    </r>
  </si>
  <si>
    <r>
      <t>Länge</t>
    </r>
    <r>
      <rPr>
        <b/>
        <sz val="10"/>
        <color rgb="FF002060"/>
        <rFont val="Arial"/>
        <family val="2"/>
      </rPr>
      <t xml:space="preserve"> λ</t>
    </r>
    <r>
      <rPr>
        <b/>
        <vertAlign val="subscript"/>
        <sz val="10"/>
        <color rgb="FF002060"/>
        <rFont val="Arial"/>
        <family val="2"/>
      </rPr>
      <t>∞</t>
    </r>
    <r>
      <rPr>
        <sz val="10"/>
        <color rgb="FF002060"/>
        <rFont val="Arial"/>
        <family val="2"/>
      </rPr>
      <t xml:space="preserve"> bzw. Frequenz f</t>
    </r>
    <r>
      <rPr>
        <vertAlign val="subscript"/>
        <sz val="10"/>
        <color rgb="FF002060"/>
        <rFont val="Arial"/>
        <family val="2"/>
      </rPr>
      <t>∞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ankommender</t>
    </r>
    <r>
      <rPr>
        <sz val="10"/>
        <color rgb="FF002060"/>
        <rFont val="Arial"/>
        <family val="2"/>
      </rPr>
      <t xml:space="preserve"> Wellen aus dem gravitationsfreien Weltraum nehmen </t>
    </r>
  </si>
  <si>
    <r>
      <t>tationsfreien Weltraum um den Faktor γ</t>
    </r>
    <r>
      <rPr>
        <vertAlign val="subscript"/>
        <sz val="10"/>
        <color rgb="FF002060"/>
        <rFont val="Arial"/>
        <family val="2"/>
      </rPr>
      <t>G</t>
    </r>
    <r>
      <rPr>
        <sz val="10"/>
        <color rgb="FF002060"/>
        <rFont val="Arial"/>
        <family val="2"/>
      </rPr>
      <t xml:space="preserve"> zu bzw. ab, bezogen auf die Ursprungswerte</t>
    </r>
    <r>
      <rPr>
        <b/>
        <sz val="10"/>
        <color rgb="FF002060"/>
        <rFont val="Arial"/>
        <family val="2"/>
      </rPr>
      <t xml:space="preserve"> λ</t>
    </r>
    <r>
      <rPr>
        <b/>
        <vertAlign val="subscript"/>
        <sz val="14"/>
        <color rgb="FF002060"/>
        <rFont val="Arial"/>
        <family val="2"/>
      </rPr>
      <t>∞</t>
    </r>
    <r>
      <rPr>
        <sz val="10"/>
        <color rgb="FF002060"/>
        <rFont val="Arial"/>
        <family val="2"/>
      </rPr>
      <t xml:space="preserve">  bzw. </t>
    </r>
    <r>
      <rPr>
        <b/>
        <sz val="11"/>
        <color rgb="FF002060"/>
        <rFont val="Arial"/>
        <family val="2"/>
      </rPr>
      <t>f</t>
    </r>
    <r>
      <rPr>
        <b/>
        <vertAlign val="subscript"/>
        <sz val="14"/>
        <color rgb="FF002060"/>
        <rFont val="Arial"/>
        <family val="2"/>
      </rPr>
      <t>∞</t>
    </r>
    <r>
      <rPr>
        <sz val="10"/>
        <color rgb="FF002060"/>
        <rFont val="Arial"/>
        <family val="2"/>
      </rPr>
      <t>.</t>
    </r>
  </si>
  <si>
    <r>
      <t xml:space="preserve">Länge </t>
    </r>
    <r>
      <rPr>
        <b/>
        <sz val="10"/>
        <color rgb="FF002060"/>
        <rFont val="Arial"/>
        <family val="2"/>
      </rPr>
      <t>λ</t>
    </r>
    <r>
      <rPr>
        <b/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bzw. Frquenz </t>
    </r>
    <r>
      <rPr>
        <b/>
        <sz val="10"/>
        <color rgb="FF002060"/>
        <rFont val="Arial"/>
        <family val="2"/>
      </rPr>
      <t>f</t>
    </r>
    <r>
      <rPr>
        <b/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abgestrahlter</t>
    </r>
    <r>
      <rPr>
        <sz val="10"/>
        <color rgb="FF002060"/>
        <rFont val="Arial"/>
        <family val="2"/>
      </rPr>
      <t xml:space="preserve"> Wellen am Radius R</t>
    </r>
    <r>
      <rPr>
        <vertAlign val="subscript"/>
        <sz val="10"/>
        <color rgb="FF002060"/>
        <rFont val="Arial"/>
        <family val="2"/>
      </rPr>
      <t>V</t>
    </r>
    <r>
      <rPr>
        <sz val="10"/>
        <color rgb="FF002060"/>
        <rFont val="Arial"/>
        <family val="2"/>
      </rPr>
      <t xml:space="preserve"> nehmen auf dem Weg in den gravi- </t>
    </r>
  </si>
  <si>
    <r>
      <t xml:space="preserve">mäß seiner bewegten Uhr. Ergo ist Max bei der Ankunft </t>
    </r>
    <r>
      <rPr>
        <b/>
        <sz val="11"/>
        <color rgb="FF002060"/>
        <rFont val="Arial"/>
        <family val="2"/>
      </rPr>
      <t>8 Jahre jünger</t>
    </r>
    <r>
      <rPr>
        <sz val="11"/>
        <color rgb="FF002060"/>
        <rFont val="Arial"/>
        <family val="2"/>
      </rPr>
      <t xml:space="preserve"> als sein Zwillingsbruder Sepp.</t>
    </r>
  </si>
  <si>
    <t>der Erde von ihm fortbewegt (siehe Beispiel Zug Tab. 1). Demnach könnte auch er der Ältere sein.</t>
  </si>
  <si>
    <t>die Brüder, jeweils am Geburtstag und jeder nach seiner Uhr, Glückwünsche per Lichtsimpuls zusenden.</t>
  </si>
  <si>
    <r>
      <t xml:space="preserve">kann es somit nicht geben, </t>
    </r>
    <r>
      <rPr>
        <u/>
        <sz val="11"/>
        <color rgb="FF002060"/>
        <rFont val="Arial"/>
        <family val="2"/>
      </rPr>
      <t>weil</t>
    </r>
    <r>
      <rPr>
        <sz val="11"/>
        <color rgb="FF002060"/>
        <rFont val="Arial"/>
        <family val="2"/>
      </rPr>
      <t xml:space="preserve"> es eine "Farbe" (rot, grün oder blau) hat. Deshalb </t>
    </r>
  </si>
  <si>
    <t xml:space="preserve">muss ein rotes Quark mit einem grünen u. blauen Quark durch einen "String" (Band) </t>
  </si>
  <si>
    <t xml:space="preserve">dann ein Proton oder Neutron. </t>
  </si>
  <si>
    <r>
      <t xml:space="preserve">von Gluonen verbunden werden </t>
    </r>
    <r>
      <rPr>
        <b/>
        <sz val="11"/>
        <color rgb="FF002060"/>
        <rFont val="Arial"/>
        <family val="2"/>
      </rPr>
      <t>(</t>
    </r>
    <r>
      <rPr>
        <b/>
        <sz val="11"/>
        <color rgb="FFC00000"/>
        <rFont val="Arial"/>
        <family val="2"/>
      </rPr>
      <t>rot</t>
    </r>
    <r>
      <rPr>
        <sz val="11"/>
        <color rgb="FF002060"/>
        <rFont val="Arial"/>
        <family val="2"/>
      </rPr>
      <t>+</t>
    </r>
    <r>
      <rPr>
        <b/>
        <sz val="11"/>
        <color rgb="FF00B050"/>
        <rFont val="Arial"/>
        <family val="2"/>
      </rPr>
      <t>grün</t>
    </r>
    <r>
      <rPr>
        <sz val="11"/>
        <color rgb="FF002060"/>
        <rFont val="Arial"/>
        <family val="2"/>
      </rPr>
      <t>+</t>
    </r>
    <r>
      <rPr>
        <b/>
        <sz val="11"/>
        <color rgb="FF0070C0"/>
        <rFont val="Arial"/>
        <family val="2"/>
      </rPr>
      <t xml:space="preserve">blau </t>
    </r>
    <r>
      <rPr>
        <sz val="11"/>
        <color rgb="FF002060"/>
        <rFont val="Arial"/>
        <family val="2"/>
      </rPr>
      <t xml:space="preserve">= </t>
    </r>
    <r>
      <rPr>
        <b/>
        <sz val="11"/>
        <color rgb="FF002060"/>
        <rFont val="Arial"/>
        <family val="2"/>
      </rPr>
      <t>weiß</t>
    </r>
    <r>
      <rPr>
        <sz val="11"/>
        <color rgb="FF002060"/>
        <rFont val="Arial"/>
        <family val="2"/>
      </rPr>
      <t xml:space="preserve">). Solch ein Triplet bildet </t>
    </r>
  </si>
  <si>
    <r>
      <t xml:space="preserve">Die schwache Kernkraft oder </t>
    </r>
    <r>
      <rPr>
        <b/>
        <sz val="11"/>
        <color rgb="FF002060"/>
        <rFont val="Arial"/>
        <family val="2"/>
      </rPr>
      <t>schwache Wechselwirkung</t>
    </r>
    <r>
      <rPr>
        <sz val="11"/>
        <color rgb="FF002060"/>
        <rFont val="Arial"/>
        <family val="2"/>
      </rPr>
      <t xml:space="preserve">, wie sie auch genannt </t>
    </r>
  </si>
  <si>
    <r>
      <t xml:space="preserve">wird, ist für die </t>
    </r>
    <r>
      <rPr>
        <b/>
        <sz val="11"/>
        <color rgb="FF002060"/>
        <rFont val="Arial"/>
        <family val="2"/>
      </rPr>
      <t>Radioaktivität</t>
    </r>
    <r>
      <rPr>
        <sz val="11"/>
        <color rgb="FF002060"/>
        <rFont val="Arial"/>
        <family val="2"/>
      </rPr>
      <t xml:space="preserve"> verantwortlich. Die schwache Wechselwirkung wirkt</t>
    </r>
  </si>
  <si>
    <r>
      <t xml:space="preserve">auf alle </t>
    </r>
    <r>
      <rPr>
        <u/>
        <sz val="11"/>
        <color rgb="FF002060"/>
        <rFont val="Arial"/>
        <family val="2"/>
      </rPr>
      <t>Materieteilchen (Spin 1/2)</t>
    </r>
    <r>
      <rPr>
        <sz val="11"/>
        <color rgb="FF002060"/>
        <rFont val="Arial"/>
        <family val="2"/>
      </rPr>
      <t>. Die Z</t>
    </r>
    <r>
      <rPr>
        <vertAlign val="superscript"/>
        <sz val="11"/>
        <color rgb="FF002060"/>
        <rFont val="Arial"/>
        <family val="2"/>
      </rPr>
      <t>0</t>
    </r>
    <r>
      <rPr>
        <sz val="11"/>
        <color rgb="FF002060"/>
        <rFont val="Arial"/>
        <family val="2"/>
      </rPr>
      <t>- und W</t>
    </r>
    <r>
      <rPr>
        <vertAlign val="superscript"/>
        <sz val="11"/>
        <color rgb="FF002060"/>
        <rFont val="Arial"/>
        <family val="2"/>
      </rPr>
      <t>±</t>
    </r>
    <r>
      <rPr>
        <sz val="11"/>
        <color rgb="FF002060"/>
        <rFont val="Arial"/>
        <family val="2"/>
      </rPr>
      <t xml:space="preserve">-Bosonen haben große Massen, </t>
    </r>
  </si>
  <si>
    <r>
      <rPr>
        <b/>
        <u/>
        <sz val="11"/>
        <color rgb="FF002060"/>
        <rFont val="Arial"/>
        <family val="2"/>
      </rPr>
      <t>Beispiele</t>
    </r>
    <r>
      <rPr>
        <b/>
        <sz val="11"/>
        <color rgb="FF002060"/>
        <rFont val="Arial"/>
        <family val="2"/>
      </rPr>
      <t>:</t>
    </r>
    <r>
      <rPr>
        <sz val="11"/>
        <color rgb="FF002060"/>
        <rFont val="Arial"/>
        <family val="2"/>
      </rPr>
      <t xml:space="preserve"> Betazerfall (Umwandlgung Proton in Neutron od. umgkehrt); Kernfusion:</t>
    </r>
  </si>
  <si>
    <r>
      <t xml:space="preserve">Sonne, 4 Protonen verschmelzen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Heliumkern; natürl. radioaktive Isotope strahlen:</t>
    </r>
  </si>
  <si>
    <r>
      <t xml:space="preserve">Elektronen </t>
    </r>
    <r>
      <rPr>
        <sz val="11"/>
        <color rgb="FF002060"/>
        <rFont val="Calibri"/>
        <family val="2"/>
      </rPr>
      <t xml:space="preserve">→ </t>
    </r>
    <r>
      <rPr>
        <sz val="11"/>
        <color rgb="FF002060"/>
        <rFont val="Arial"/>
        <family val="2"/>
      </rPr>
      <t>Ladung 1 e</t>
    </r>
    <r>
      <rPr>
        <vertAlign val="superscript"/>
        <sz val="11"/>
        <color rgb="FF002060"/>
        <rFont val="Arial"/>
        <family val="2"/>
      </rPr>
      <t>-</t>
    </r>
  </si>
  <si>
    <t>Quanten des elektromagn. Feldes (Licht-, Röntgen-Quanten).</t>
  </si>
  <si>
    <t>Ankunft des</t>
  </si>
  <si>
    <t xml:space="preserve">Raumfahrers im </t>
  </si>
  <si>
    <t>Ziel gemäß seiner</t>
  </si>
  <si>
    <t>Raumfahrers im</t>
  </si>
  <si>
    <t>System</t>
  </si>
  <si>
    <t>des Raumfahrers in</t>
  </si>
  <si>
    <t>seinem "bewegten"</t>
  </si>
  <si>
    <t xml:space="preserve">Er studierte wie sich ein fallender Körper (Kugel) </t>
  </si>
  <si>
    <r>
      <t xml:space="preserve">  Erde M</t>
    </r>
    <r>
      <rPr>
        <vertAlign val="subscript"/>
        <sz val="10"/>
        <color rgb="FF002060"/>
        <rFont val="Arial"/>
        <family val="2"/>
      </rPr>
      <t>1</t>
    </r>
    <r>
      <rPr>
        <sz val="10"/>
        <color rgb="FF002060"/>
        <rFont val="Arial"/>
        <family val="2"/>
      </rPr>
      <t xml:space="preserve"> = 5,972•10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Mond M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= 7,348•10</t>
    </r>
    <r>
      <rPr>
        <vertAlign val="superscript"/>
        <sz val="10"/>
        <color rgb="FF002060"/>
        <rFont val="Arial"/>
        <family val="2"/>
      </rPr>
      <t>22</t>
    </r>
    <r>
      <rPr>
        <sz val="10"/>
        <color rgb="FF002060"/>
        <rFont val="Arial"/>
        <family val="2"/>
      </rPr>
      <t xml:space="preserve"> kg / Große Halbachse a = 3,844•10</t>
    </r>
    <r>
      <rPr>
        <vertAlign val="superscript"/>
        <sz val="10"/>
        <color rgb="FF002060"/>
        <rFont val="Arial"/>
        <family val="2"/>
      </rPr>
      <t>8</t>
    </r>
    <r>
      <rPr>
        <sz val="10"/>
        <color rgb="FF002060"/>
        <rFont val="Arial"/>
        <family val="2"/>
      </rPr>
      <t xml:space="preserve"> m</t>
    </r>
  </si>
  <si>
    <r>
      <t>p</t>
    </r>
    <r>
      <rPr>
        <vertAlign val="subscript"/>
        <sz val="11"/>
        <color theme="1"/>
        <rFont val="Arial"/>
        <family val="2"/>
      </rPr>
      <t>klass.</t>
    </r>
    <r>
      <rPr>
        <sz val="11"/>
        <color theme="1"/>
        <rFont val="Arial"/>
        <family val="2"/>
      </rPr>
      <t xml:space="preserve"> =</t>
    </r>
  </si>
  <si>
    <r>
      <t>p</t>
    </r>
    <r>
      <rPr>
        <vertAlign val="subscript"/>
        <sz val="11"/>
        <color theme="1"/>
        <rFont val="Arial"/>
        <family val="2"/>
      </rPr>
      <t>rel.</t>
    </r>
    <r>
      <rPr>
        <sz val="11"/>
        <color theme="1"/>
        <rFont val="Arial"/>
        <family val="2"/>
      </rPr>
      <t xml:space="preserve"> = </t>
    </r>
  </si>
  <si>
    <t xml:space="preserve">abnehmender Relativgeschwindigkeit die Zeitintervalle </t>
  </si>
  <si>
    <t xml:space="preserve">Auch hier ist es interessant zu beobachten, wie sich mit </t>
  </si>
  <si>
    <r>
      <t xml:space="preserve">(ΔT-Werte) und die </t>
    </r>
    <r>
      <rPr>
        <sz val="11"/>
        <color rgb="FFC00000"/>
        <rFont val="Arial"/>
        <family val="2"/>
      </rPr>
      <t xml:space="preserve">Rot- </t>
    </r>
    <r>
      <rPr>
        <sz val="11"/>
        <color theme="1"/>
        <rFont val="Arial"/>
        <family val="2"/>
      </rPr>
      <t xml:space="preserve">/ </t>
    </r>
    <r>
      <rPr>
        <sz val="11"/>
        <color rgb="FF0070C0"/>
        <rFont val="Arial"/>
        <family val="2"/>
      </rPr>
      <t>Blau-</t>
    </r>
    <r>
      <rPr>
        <sz val="11"/>
        <color theme="1"/>
        <rFont val="Arial"/>
        <family val="2"/>
      </rPr>
      <t>verschiebung (k-Werte)</t>
    </r>
  </si>
  <si>
    <r>
      <t xml:space="preserve">Dopplerfaktor </t>
    </r>
    <r>
      <rPr>
        <b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 xml:space="preserve"> bei Entfernung (Hinflug):</t>
    </r>
  </si>
  <si>
    <r>
      <t xml:space="preserve">Dopplerfaktor </t>
    </r>
    <r>
      <rPr>
        <b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 xml:space="preserve"> bei Annäherung (Rückflug):</t>
    </r>
  </si>
  <si>
    <t xml:space="preserve">Myonen entstehen in ca. 10 km Höhe über NN beim Aufprall kosmischer Strahlung (meist Protonen) auf die Moleküle der Erdatmosphäre als Sekundärreaktion </t>
  </si>
  <si>
    <t>folglich dürften kaum noch welche die Erdoberfläche auf Meereshöhe erreichen.</t>
  </si>
  <si>
    <t>nach. Das ist in guter Übereinstimmung mit den Vorhersagen der Speziellen Releativitätstheorie.</t>
  </si>
  <si>
    <r>
      <t xml:space="preserve">Die mitgeführten Atomuhren gingen am Ende der Reisen um </t>
    </r>
    <r>
      <rPr>
        <b/>
        <sz val="11"/>
        <color rgb="FF002060"/>
        <rFont val="Arial"/>
        <family val="2"/>
      </rPr>
      <t>0,000000059 s</t>
    </r>
    <r>
      <rPr>
        <sz val="11"/>
        <color rgb="FF002060"/>
        <rFont val="Arial"/>
        <family val="2"/>
      </rPr>
      <t xml:space="preserve"> (beim Ostflug) und </t>
    </r>
    <r>
      <rPr>
        <b/>
        <sz val="11"/>
        <color rgb="FF002060"/>
        <rFont val="Arial"/>
        <family val="2"/>
      </rPr>
      <t>0,000000273 s</t>
    </r>
    <r>
      <rPr>
        <sz val="11"/>
        <color rgb="FF002060"/>
        <rFont val="Arial"/>
        <family val="2"/>
      </rPr>
      <t xml:space="preserve"> (beim Westflug) </t>
    </r>
  </si>
  <si>
    <t xml:space="preserve">Hafele und Keating verfügten über die damals genauesten Atomuhren. Wenn sie einmal synchronisiert sind, weichen sie in Jahrmillionen nur eine </t>
  </si>
  <si>
    <t>müssen, damit die v. g. Zeitunterschiede auf natürliche Weise hätten entstehen können.</t>
  </si>
  <si>
    <r>
      <t>Milliardstel Sekunde (</t>
    </r>
    <r>
      <rPr>
        <b/>
        <sz val="11"/>
        <color rgb="FF002060"/>
        <rFont val="Arial"/>
        <family val="2"/>
      </rPr>
      <t>0,000000001 s</t>
    </r>
    <r>
      <rPr>
        <sz val="11"/>
        <color theme="1"/>
        <rFont val="Arial"/>
        <family val="2"/>
      </rPr>
      <t xml:space="preserve">) voneinander ab. Wären die Uhren beieinander geblieben, so hätten mehr als 300 Millionen Jahre vergehen </t>
    </r>
  </si>
  <si>
    <r>
      <t>bis h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= 10000 m erreicht ist.</t>
    </r>
  </si>
  <si>
    <t>Für Sepp auf der Erde ist, nach seiner ruhenden Uhr, während der Reise von Max eine Zeitdauer von</t>
  </si>
  <si>
    <r>
      <rPr>
        <b/>
        <sz val="11"/>
        <color rgb="FF002060"/>
        <rFont val="Arial"/>
        <family val="2"/>
      </rPr>
      <t>t = 20 Jahren</t>
    </r>
    <r>
      <rPr>
        <sz val="11"/>
        <color rgb="FF002060"/>
        <rFont val="Arial"/>
        <family val="2"/>
      </rPr>
      <t xml:space="preserve"> vergangen. Die Borduhr zeigt für Max jedoch eine Reisezeit von</t>
    </r>
    <r>
      <rPr>
        <b/>
        <sz val="11"/>
        <color rgb="FF002060"/>
        <rFont val="Arial"/>
        <family val="2"/>
      </rPr>
      <t xml:space="preserve"> t' = 12 Jahren</t>
    </r>
    <r>
      <rPr>
        <sz val="11"/>
        <color rgb="FF002060"/>
        <rFont val="Arial"/>
        <family val="2"/>
      </rPr>
      <t xml:space="preserve"> an, ge- </t>
    </r>
  </si>
  <si>
    <t xml:space="preserve">Zeitintervall der Signale beim Hinflug: </t>
  </si>
  <si>
    <t xml:space="preserve">Zeitintervall der Signale beim Rückflug: </t>
  </si>
  <si>
    <r>
      <t xml:space="preserve"> *) Interative Eingabe der Werte für die Beschleunigung (</t>
    </r>
    <r>
      <rPr>
        <b/>
        <sz val="11"/>
        <color rgb="FF002060"/>
        <rFont val="Arial"/>
        <family val="2"/>
      </rPr>
      <t>H117</t>
    </r>
    <r>
      <rPr>
        <sz val="11"/>
        <color rgb="FF002060"/>
        <rFont val="Arial"/>
        <family val="2"/>
      </rPr>
      <t>) u. die Länge der Beschleunigungs-/Bremsphase (</t>
    </r>
    <r>
      <rPr>
        <b/>
        <sz val="11"/>
        <color rgb="FF002060"/>
        <rFont val="Arial"/>
        <family val="2"/>
      </rPr>
      <t>H119</t>
    </r>
    <r>
      <rPr>
        <sz val="11"/>
        <color rgb="FF002060"/>
        <rFont val="Arial"/>
        <family val="2"/>
      </rPr>
      <t xml:space="preserve">)  </t>
    </r>
  </si>
  <si>
    <r>
      <t xml:space="preserve">     bis sich die gewünschte Reisegeschwindigkeit </t>
    </r>
    <r>
      <rPr>
        <b/>
        <sz val="11"/>
        <color rgb="FF002060"/>
        <rFont val="Arial"/>
        <family val="2"/>
      </rPr>
      <t>(D132</t>
    </r>
    <r>
      <rPr>
        <sz val="11"/>
        <color rgb="FF002060"/>
        <rFont val="Arial"/>
        <family val="2"/>
      </rPr>
      <t xml:space="preserve"> bzw. </t>
    </r>
    <r>
      <rPr>
        <b/>
        <sz val="11"/>
        <color rgb="FF002060"/>
        <rFont val="Arial"/>
        <family val="2"/>
      </rPr>
      <t>H132</t>
    </r>
    <r>
      <rPr>
        <sz val="11"/>
        <color rgb="FF002060"/>
        <rFont val="Arial"/>
        <family val="2"/>
      </rPr>
      <t>) ergibt (z. B. "Ritt auf der Lichtwelle" von ca. 0,2 c).</t>
    </r>
  </si>
  <si>
    <r>
      <rPr>
        <b/>
        <sz val="10"/>
        <color rgb="FFC00000"/>
        <rFont val="Arial"/>
        <family val="2"/>
      </rPr>
      <t>Blitz A</t>
    </r>
    <r>
      <rPr>
        <sz val="10"/>
        <color rgb="FF002060"/>
        <rFont val="Arial"/>
        <family val="2"/>
      </rPr>
      <t>:</t>
    </r>
    <r>
      <rPr>
        <b/>
        <sz val="10"/>
        <color rgb="FF002060"/>
        <rFont val="Arial"/>
        <family val="2"/>
      </rPr>
      <t xml:space="preserve"> x´ = -4,131 Ly /-3,908 </t>
    </r>
    <r>
      <rPr>
        <b/>
        <sz val="10"/>
        <color rgb="FF002060"/>
        <rFont val="Calibri"/>
        <family val="2"/>
      </rPr>
      <t>·</t>
    </r>
    <r>
      <rPr>
        <b/>
        <sz val="10"/>
        <color rgb="FF002060"/>
        <rFont val="Arial"/>
        <family val="2"/>
      </rPr>
      <t xml:space="preserve"> 10</t>
    </r>
    <r>
      <rPr>
        <b/>
        <vertAlign val="superscript"/>
        <sz val="10"/>
        <color rgb="FF002060"/>
        <rFont val="Arial"/>
        <family val="2"/>
      </rPr>
      <t>13</t>
    </r>
    <r>
      <rPr>
        <b/>
        <sz val="10"/>
        <color rgb="FF002060"/>
        <rFont val="Arial"/>
        <family val="2"/>
      </rPr>
      <t xml:space="preserve"> km</t>
    </r>
    <r>
      <rPr>
        <sz val="10"/>
        <color rgb="FF002060"/>
        <rFont val="Arial"/>
        <family val="2"/>
      </rPr>
      <t xml:space="preserve"> | y = 0  | z = 0  | </t>
    </r>
    <r>
      <rPr>
        <b/>
        <sz val="10"/>
        <color rgb="FF002060"/>
        <rFont val="Arial"/>
        <family val="2"/>
      </rPr>
      <t xml:space="preserve"> Zeit t´ =  1,033 a</t>
    </r>
  </si>
  <si>
    <r>
      <rPr>
        <b/>
        <sz val="10"/>
        <color rgb="FFC00000"/>
        <rFont val="Arial"/>
        <family val="2"/>
      </rPr>
      <t>Blitz B</t>
    </r>
    <r>
      <rPr>
        <sz val="10"/>
        <color rgb="FF002060"/>
        <rFont val="Arial"/>
        <family val="2"/>
      </rPr>
      <t xml:space="preserve">: </t>
    </r>
    <r>
      <rPr>
        <b/>
        <sz val="10"/>
        <color rgb="FF002060"/>
        <rFont val="Arial"/>
        <family val="2"/>
      </rPr>
      <t>x´ =  4,131 Ly / 3,908 · 10</t>
    </r>
    <r>
      <rPr>
        <b/>
        <vertAlign val="superscript"/>
        <sz val="10"/>
        <color rgb="FF002060"/>
        <rFont val="Arial"/>
        <family val="2"/>
      </rPr>
      <t>13</t>
    </r>
    <r>
      <rPr>
        <b/>
        <sz val="10"/>
        <color rgb="FF002060"/>
        <rFont val="Arial"/>
        <family val="2"/>
      </rPr>
      <t xml:space="preserve"> km</t>
    </r>
    <r>
      <rPr>
        <sz val="10"/>
        <color rgb="FF002060"/>
        <rFont val="Arial"/>
        <family val="2"/>
      </rPr>
      <t xml:space="preserve"> | y = 0  | z = 0  |  </t>
    </r>
    <r>
      <rPr>
        <b/>
        <sz val="10"/>
        <color rgb="FF002060"/>
        <rFont val="Arial"/>
        <family val="2"/>
      </rPr>
      <t>Zeit t´ = -1,033 a</t>
    </r>
  </si>
  <si>
    <t>temperatur von Sternen, Annäherung / Entfernung von Sternen, Galaxien, … .</t>
  </si>
  <si>
    <t>kommt in der Astronomie besondere Bedeutung zu: Bestimmung Oberflächen-</t>
  </si>
  <si>
    <r>
      <t xml:space="preserve">entspricht eine 3-dimensionale </t>
    </r>
    <r>
      <rPr>
        <b/>
        <sz val="11"/>
        <color theme="1"/>
        <rFont val="Arial"/>
        <family val="2"/>
      </rPr>
      <t>stehende Welle</t>
    </r>
    <r>
      <rPr>
        <sz val="11"/>
        <color theme="1"/>
        <rFont val="Arial"/>
        <family val="2"/>
      </rPr>
      <t>. Das Quadrat ihrer Amplitude ist ein Maß für die Wahrscheinlichkeit, ein Elektron dort anzutreffen.</t>
    </r>
  </si>
  <si>
    <r>
      <t xml:space="preserve">Ausführungen basieren auf </t>
    </r>
    <r>
      <rPr>
        <b/>
        <sz val="10"/>
        <color rgb="FFC00000"/>
        <rFont val="Arial"/>
        <family val="2"/>
      </rPr>
      <t>www.gym-vaterstetten.de</t>
    </r>
  </si>
  <si>
    <r>
      <t xml:space="preserve">Ausführungen basieren auf </t>
    </r>
    <r>
      <rPr>
        <b/>
        <sz val="11"/>
        <color rgb="FFC00000"/>
        <rFont val="Arial"/>
        <family val="2"/>
      </rPr>
      <t>www.sternwarte-eberfing.de</t>
    </r>
  </si>
  <si>
    <r>
      <t xml:space="preserve">Beitrag basiert im wesentlichen auf </t>
    </r>
    <r>
      <rPr>
        <b/>
        <sz val="11"/>
        <color rgb="FFC00000"/>
        <rFont val="Arial"/>
        <family val="2"/>
      </rPr>
      <t>gym-vaterstetten.de</t>
    </r>
    <r>
      <rPr>
        <sz val="11"/>
        <color rgb="FFC00000"/>
        <rFont val="Arial"/>
        <family val="2"/>
      </rPr>
      <t xml:space="preserve"> und </t>
    </r>
    <r>
      <rPr>
        <b/>
        <sz val="11"/>
        <color rgb="FFC00000"/>
        <rFont val="Arial"/>
        <family val="2"/>
      </rPr>
      <t>spektrum.de</t>
    </r>
  </si>
  <si>
    <t>schlagen, inklusive Vorhersage, dass die Strahlung heute noch da sein müsse.</t>
  </si>
  <si>
    <r>
      <t>Frühstadium des Universums wurde 1948 v. Gamow, Alpher u. Herman</t>
    </r>
    <r>
      <rPr>
        <b/>
        <sz val="10"/>
        <color theme="9" tint="-0.499984740745262"/>
        <rFont val="Arial"/>
        <family val="2"/>
      </rPr>
      <t>*</t>
    </r>
    <r>
      <rPr>
        <sz val="10"/>
        <color rgb="FF002060"/>
        <rFont val="Arial"/>
        <family val="2"/>
      </rPr>
      <t xml:space="preserve"> vorge- </t>
    </r>
  </si>
  <si>
    <t xml:space="preserve">dem Unendlichen) auf den Kern zu (ungleichnamige Pole ziehen sich an), verringert sich die potentielle Energie, sie wird also negativ. Da das Elektron aber dem </t>
  </si>
  <si>
    <t>Länge l´ des Körpers in Bewegungsrichtung im "bewegten" System S´:</t>
  </si>
  <si>
    <r>
      <t>Wenn sich ein Objekt der Masse m</t>
    </r>
    <r>
      <rPr>
        <vertAlign val="sub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 mit der Geschwindigkeit v auf einer Kreisbahn mit dem Radius r um einen Himmelskörper bewegt, beträgt seine Zentripedalbeschleunigung </t>
    </r>
  </si>
  <si>
    <r>
      <t>ist sehr viel kleiner als z. B. Atomradien von ca. 10</t>
    </r>
    <r>
      <rPr>
        <vertAlign val="superscript"/>
        <sz val="10"/>
        <color rgb="FF002060"/>
        <rFont val="Arial"/>
        <family val="2"/>
      </rPr>
      <t>-10</t>
    </r>
    <r>
      <rPr>
        <sz val="10"/>
        <color rgb="FF002060"/>
        <rFont val="Arial"/>
        <family val="2"/>
      </rPr>
      <t xml:space="preserve"> m. </t>
    </r>
  </si>
  <si>
    <r>
      <rPr>
        <b/>
        <sz val="10"/>
        <color rgb="FF002060"/>
        <rFont val="Calibri"/>
        <family val="2"/>
      </rPr>
      <t>→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relevanter Effekt:</t>
    </r>
    <r>
      <rPr>
        <sz val="10"/>
        <color rgb="FF002060"/>
        <rFont val="Arial"/>
        <family val="2"/>
      </rPr>
      <t xml:space="preserve"> Atomradien von r = 10</t>
    </r>
    <r>
      <rPr>
        <vertAlign val="superscript"/>
        <sz val="10"/>
        <color rgb="FF002060"/>
        <rFont val="Arial"/>
        <family val="2"/>
      </rPr>
      <t xml:space="preserve">-10 </t>
    </r>
    <r>
      <rPr>
        <sz val="10"/>
        <color rgb="FF002060"/>
        <rFont val="Arial"/>
        <family val="2"/>
      </rPr>
      <t xml:space="preserve">m sind in der Größenordnung der Orts-Unbe- </t>
    </r>
  </si>
  <si>
    <t>Grund-Daten des Sonnensystems</t>
  </si>
  <si>
    <t>Das Spektrum der kosmischen Hintergrundstrahlung (Aufnahme Planck-Satellit</t>
  </si>
  <si>
    <t xml:space="preserve">Bei dieser Geschwindigkeit reicht die kinetische Energie eines Körpers (z. B. einer Rakete) gerade aus, um dem Gravitationspotential eines Himmelskörpers (z. B. der Erde) </t>
  </si>
  <si>
    <t>Bernhard Szallies:</t>
  </si>
  <si>
    <r>
      <t xml:space="preserve">Test für </t>
    </r>
    <r>
      <rPr>
        <sz val="11"/>
        <color theme="1"/>
        <rFont val="Calibri"/>
        <family val="2"/>
      </rPr>
      <t>β</t>
    </r>
    <r>
      <rPr>
        <sz val="11"/>
        <color theme="1"/>
        <rFont val="Arial"/>
        <family val="2"/>
      </rPr>
      <t xml:space="preserve"> = 0,6 c:</t>
    </r>
  </si>
  <si>
    <t xml:space="preserve">ratsam, nicht benötigte Eingabefelder </t>
  </si>
  <si>
    <r>
      <rPr>
        <b/>
        <sz val="10"/>
        <color rgb="FF002060"/>
        <rFont val="Arial"/>
        <family val="2"/>
      </rPr>
      <t>leer</t>
    </r>
    <r>
      <rPr>
        <sz val="10"/>
        <color rgb="FF002060"/>
        <rFont val="Arial"/>
        <family val="2"/>
      </rPr>
      <t xml:space="preserve"> zu lassen.</t>
    </r>
  </si>
  <si>
    <t>Tipp:</t>
  </si>
  <si>
    <t xml:space="preserve">Der besseren Übersicht wegen ist es </t>
  </si>
  <si>
    <r>
      <t xml:space="preserve"> g </t>
    </r>
    <r>
      <rPr>
        <sz val="8"/>
        <color theme="1"/>
        <rFont val="Arial"/>
        <family val="2"/>
      </rPr>
      <t>(</t>
    </r>
    <r>
      <rPr>
        <b/>
        <sz val="8"/>
        <color theme="1"/>
        <rFont val="Arial"/>
        <family val="2"/>
      </rPr>
      <t>Erdbeschl.</t>
    </r>
    <r>
      <rPr>
        <sz val="8"/>
        <color theme="1"/>
        <rFont val="Arial"/>
        <family val="2"/>
      </rPr>
      <t>)</t>
    </r>
  </si>
  <si>
    <r>
      <t xml:space="preserve">Wie groß ist die </t>
    </r>
    <r>
      <rPr>
        <b/>
        <sz val="11"/>
        <color theme="1"/>
        <rFont val="Arial"/>
        <family val="2"/>
      </rPr>
      <t>Elektrische (Coulomb-) Kraft</t>
    </r>
    <r>
      <rPr>
        <sz val="11"/>
        <color theme="1"/>
        <rFont val="Arial"/>
        <family val="2"/>
      </rPr>
      <t xml:space="preserve"> zwischen Elektron und Kern?</t>
    </r>
  </si>
  <si>
    <r>
      <t xml:space="preserve">Wie groß ist die </t>
    </r>
    <r>
      <rPr>
        <b/>
        <sz val="11"/>
        <color theme="1"/>
        <rFont val="Arial"/>
        <family val="2"/>
      </rPr>
      <t>Potentielle Energie</t>
    </r>
    <r>
      <rPr>
        <sz val="11"/>
        <color theme="1"/>
        <rFont val="Arial"/>
        <family val="2"/>
      </rPr>
      <t xml:space="preserve"> des Elektrons im Elektrischen Feld?</t>
    </r>
  </si>
  <si>
    <t>Blaue Riesen</t>
  </si>
  <si>
    <t xml:space="preserve">Gelbe Zwerge </t>
  </si>
  <si>
    <t xml:space="preserve"> Roten Riesen</t>
  </si>
  <si>
    <r>
      <t xml:space="preserve">sammen und stößt die Hülle in den Weltraum hinaus. Übrig bleibt ein </t>
    </r>
    <r>
      <rPr>
        <b/>
        <sz val="11"/>
        <rFont val="Arial"/>
        <family val="2"/>
      </rPr>
      <t>Weißer Zwerg</t>
    </r>
    <r>
      <rPr>
        <b/>
        <sz val="11"/>
        <color theme="1"/>
        <rFont val="Arial"/>
        <family val="2"/>
      </rPr>
      <t>.</t>
    </r>
    <r>
      <rPr>
        <sz val="11"/>
        <color theme="1"/>
        <rFont val="Arial"/>
        <family val="2"/>
      </rPr>
      <t xml:space="preserve"> Durchmesser</t>
    </r>
  </si>
  <si>
    <t>Roten Superriesen</t>
  </si>
  <si>
    <t>Rote Zwerge</t>
  </si>
  <si>
    <r>
      <rPr>
        <b/>
        <sz val="11"/>
        <color rgb="FFFFC000"/>
        <rFont val="Arial"/>
        <family val="2"/>
      </rPr>
      <t>Gelber Zwerg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wird zum</t>
    </r>
  </si>
  <si>
    <r>
      <t xml:space="preserve">(wegen der unterschiedlichen Häufigkeit von Nickel und Silizium) und liegt bei </t>
    </r>
    <r>
      <rPr>
        <b/>
        <sz val="11"/>
        <color rgb="FF002060"/>
        <rFont val="Arial"/>
        <family val="2"/>
      </rPr>
      <t>M = -19,7 mag</t>
    </r>
    <r>
      <rPr>
        <sz val="11"/>
        <color theme="1"/>
        <rFont val="Arial"/>
        <family val="2"/>
      </rPr>
      <t xml:space="preserve">. </t>
    </r>
  </si>
  <si>
    <t>1, 2, 3, 4, 5, 6, 7</t>
  </si>
  <si>
    <t>←</t>
  </si>
  <si>
    <r>
      <t>Schalenbau Cäsium (</t>
    </r>
    <r>
      <rPr>
        <b/>
        <sz val="11"/>
        <color theme="1"/>
        <rFont val="Arial"/>
        <family val="2"/>
      </rPr>
      <t>Cs</t>
    </r>
    <r>
      <rPr>
        <sz val="11"/>
        <color theme="1"/>
        <rFont val="Arial"/>
        <family val="2"/>
      </rPr>
      <t>) - Atom</t>
    </r>
  </si>
  <si>
    <t xml:space="preserve">allerdings nicht, da sich die Energie der Quarks im Proton nach der Unbestimmtheitsrelation nicht genau festlegen lässt. Es könnte also genug Energie vorhanden </t>
  </si>
  <si>
    <r>
      <t>sein, um das Proton zerfallen zu lassen. Die Wahrscheinlichkeit dafür ist aber sehr gering (die Zeitdauer, in der das Ereignis passiert, beträgt 10</t>
    </r>
    <r>
      <rPr>
        <vertAlign val="superscript"/>
        <sz val="11"/>
        <color theme="1"/>
        <rFont val="Arial"/>
        <family val="2"/>
      </rPr>
      <t>30</t>
    </r>
    <r>
      <rPr>
        <sz val="11"/>
        <color theme="1"/>
        <rFont val="Arial"/>
        <family val="2"/>
      </rPr>
      <t xml:space="preserve"> Jahre, seit dem </t>
    </r>
  </si>
  <si>
    <r>
      <t>ist davon auszugehen, dass bei Betrachtung von sehr viel Materie - 10</t>
    </r>
    <r>
      <rPr>
        <vertAlign val="superscript"/>
        <sz val="11"/>
        <color theme="1"/>
        <rFont val="Arial"/>
        <family val="2"/>
      </rPr>
      <t>31</t>
    </r>
    <r>
      <rPr>
        <sz val="11"/>
        <color theme="1"/>
        <rFont val="Arial"/>
        <family val="2"/>
      </rPr>
      <t xml:space="preserve"> Protonen - ein Zerfall von mehr als einem Proton im Jahr nach der GUT stattfindet.</t>
    </r>
  </si>
  <si>
    <r>
      <t>pc</t>
    </r>
    <r>
      <rPr>
        <sz val="10"/>
        <rFont val="Calibri"/>
        <family val="2"/>
      </rPr>
      <t>→</t>
    </r>
    <r>
      <rPr>
        <sz val="10"/>
        <rFont val="Arial"/>
        <family val="2"/>
      </rPr>
      <t>parsec</t>
    </r>
    <r>
      <rPr>
        <sz val="10"/>
        <rFont val="Calibri"/>
        <family val="2"/>
      </rPr>
      <t>→</t>
    </r>
    <r>
      <rPr>
        <sz val="10"/>
        <rFont val="Arial"/>
        <family val="2"/>
      </rPr>
      <t>parallax second</t>
    </r>
    <r>
      <rPr>
        <sz val="10"/>
        <rFont val="Calibri"/>
        <family val="2"/>
      </rPr>
      <t>→</t>
    </r>
    <r>
      <rPr>
        <sz val="10"/>
        <rFont val="Arial"/>
        <family val="2"/>
      </rPr>
      <t>Parallaxensekunde</t>
    </r>
  </si>
  <si>
    <t>https://www.youtube.com/watch?v=YoXWIKD1FjU</t>
  </si>
  <si>
    <r>
      <t xml:space="preserve">Ursache ist die permanente Expansion des Universums. Wird Licht von einer </t>
    </r>
    <r>
      <rPr>
        <b/>
        <sz val="10"/>
        <color theme="1"/>
        <rFont val="Arial"/>
        <family val="2"/>
      </rPr>
      <t>fernen</t>
    </r>
    <r>
      <rPr>
        <sz val="10"/>
        <color theme="1"/>
        <rFont val="Arial"/>
        <family val="2"/>
      </rPr>
      <t xml:space="preserve"> Galaxie emittiert, so kommt es nach einer bestimmten Zeit </t>
    </r>
    <r>
      <rPr>
        <b/>
        <sz val="10"/>
        <color theme="1"/>
        <rFont val="Arial"/>
        <family val="2"/>
      </rPr>
      <t>t</t>
    </r>
    <r>
      <rPr>
        <sz val="10"/>
        <color theme="1"/>
        <rFont val="Arial"/>
        <family val="2"/>
      </rPr>
      <t xml:space="preserve"> auf der Erde an. Hat sich die  </t>
    </r>
  </si>
  <si>
    <t>1 pc = 3,2616 Lj (Astronomische Längeneinheit)</t>
  </si>
  <si>
    <r>
      <rPr>
        <sz val="10"/>
        <color rgb="FF002060"/>
        <rFont val="Calibri"/>
        <family val="2"/>
      </rPr>
      <t>λ</t>
    </r>
    <r>
      <rPr>
        <vertAlign val="subscript"/>
        <sz val="10"/>
        <color rgb="FF002060"/>
        <rFont val="Calibri"/>
        <family val="2"/>
      </rPr>
      <t>0</t>
    </r>
    <r>
      <rPr>
        <sz val="10"/>
        <color rgb="FF002060"/>
        <rFont val="Calibri"/>
        <family val="2"/>
      </rPr>
      <t xml:space="preserve"> = </t>
    </r>
    <r>
      <rPr>
        <sz val="10"/>
        <color rgb="FF002060"/>
        <rFont val="Arial"/>
        <family val="2"/>
      </rPr>
      <t>656,297 nm ist der Laborwert der H</t>
    </r>
    <r>
      <rPr>
        <vertAlign val="subscript"/>
        <sz val="10"/>
        <color rgb="FF002060"/>
        <rFont val="Arial"/>
        <family val="2"/>
      </rPr>
      <t>α</t>
    </r>
    <r>
      <rPr>
        <sz val="10"/>
        <color rgb="FF002060"/>
        <rFont val="Arial"/>
        <family val="2"/>
      </rPr>
      <t>-Linie (H-</t>
    </r>
  </si>
  <si>
    <t>Wellenlänge Laborwert:</t>
  </si>
  <si>
    <r>
      <t>Atom) u. λ</t>
    </r>
    <r>
      <rPr>
        <vertAlign val="subscript"/>
        <sz val="10"/>
        <color rgb="FF002060"/>
        <rFont val="Arial"/>
        <family val="2"/>
      </rPr>
      <t>1</t>
    </r>
    <r>
      <rPr>
        <sz val="10"/>
        <color rgb="FF002060"/>
        <rFont val="Arial"/>
        <family val="2"/>
      </rPr>
      <t xml:space="preserve"> = 658,003 nm sei der Messwert für ei-</t>
    </r>
  </si>
  <si>
    <t>ne ferne Galaxie. Wie schnell expandiert d. Raum?</t>
  </si>
  <si>
    <r>
      <rPr>
        <b/>
        <sz val="10"/>
        <rFont val="Arial"/>
        <family val="2"/>
      </rPr>
      <t>m</t>
    </r>
    <r>
      <rPr>
        <b/>
        <vertAlign val="subscript"/>
        <sz val="10"/>
        <rFont val="Arial"/>
        <family val="2"/>
      </rPr>
      <t>0</t>
    </r>
    <r>
      <rPr>
        <b/>
        <sz val="10"/>
        <rFont val="Arial"/>
        <family val="2"/>
      </rPr>
      <t xml:space="preserve"> ≠ 0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 xml:space="preserve">v </t>
    </r>
    <r>
      <rPr>
        <b/>
        <sz val="10"/>
        <rFont val="Calibri"/>
        <family val="2"/>
      </rPr>
      <t>→</t>
    </r>
    <r>
      <rPr>
        <b/>
        <sz val="10"/>
        <rFont val="Arial"/>
        <family val="2"/>
      </rPr>
      <t xml:space="preserve"> c</t>
    </r>
    <r>
      <rPr>
        <sz val="10"/>
        <rFont val="Arial"/>
        <family val="2"/>
      </rPr>
      <t xml:space="preserve"> die Energie </t>
    </r>
    <r>
      <rPr>
        <b/>
        <sz val="10"/>
        <rFont val="Arial"/>
        <family val="2"/>
      </rPr>
      <t xml:space="preserve">E </t>
    </r>
    <r>
      <rPr>
        <b/>
        <sz val="10"/>
        <rFont val="Calibri"/>
        <family val="2"/>
      </rPr>
      <t>→ ꚙ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wird.</t>
    </r>
  </si>
  <si>
    <t>keine zusätzliche Energie mehr gewinnen (siehe Grafik links).</t>
  </si>
  <si>
    <t xml:space="preserve"> M = -5,47  / m = 0,45 </t>
  </si>
  <si>
    <t xml:space="preserve"> M = -6,96  / m = 0,15</t>
  </si>
  <si>
    <r>
      <t xml:space="preserve"> 46,6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9</t>
    </r>
    <r>
      <rPr>
        <sz val="10"/>
        <color rgb="FF002060"/>
        <rFont val="Arial"/>
        <family val="2"/>
      </rPr>
      <t xml:space="preserve"> (46,6 Mrd.) Lichtjahre</t>
    </r>
  </si>
  <si>
    <r>
      <t xml:space="preserve">Das Bohrsche Atommodell liefert für den </t>
    </r>
    <r>
      <rPr>
        <b/>
        <sz val="11"/>
        <color rgb="FF002060"/>
        <rFont val="Arial"/>
        <family val="2"/>
      </rPr>
      <t>Spezialfall Wasserstoff-Atom</t>
    </r>
    <r>
      <rPr>
        <sz val="11"/>
        <color rgb="FF002060"/>
        <rFont val="Arial"/>
        <family val="2"/>
      </rPr>
      <t xml:space="preserve"> gute Vorhersagen.</t>
    </r>
  </si>
  <si>
    <t>Atome mit mehr als einem Elektron können aber nicht oder nur bedingt beschrieben werden.</t>
  </si>
  <si>
    <r>
      <t xml:space="preserve">Mit der Quantenmechanik wird die exakte Bahn des Elektrons durch Räume </t>
    </r>
    <r>
      <rPr>
        <b/>
        <sz val="11"/>
        <color rgb="FF002060"/>
        <rFont val="Arial"/>
        <family val="2"/>
      </rPr>
      <t>-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Orbitale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-</t>
    </r>
    <r>
      <rPr>
        <sz val="11"/>
        <color rgb="FF002060"/>
        <rFont val="Arial"/>
        <family val="2"/>
      </rPr>
      <t xml:space="preserve"> angegeben, in denen </t>
    </r>
  </si>
  <si>
    <r>
      <t>J</t>
    </r>
    <r>
      <rPr>
        <b/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>s</t>
    </r>
  </si>
  <si>
    <r>
      <t>legt die</t>
    </r>
    <r>
      <rPr>
        <b/>
        <sz val="11"/>
        <color rgb="FF002060"/>
        <rFont val="Arial"/>
        <family val="2"/>
      </rPr>
      <t xml:space="preserve"> Form / Gestalt</t>
    </r>
    <r>
      <rPr>
        <sz val="11"/>
        <color rgb="FF002060"/>
        <rFont val="Arial"/>
        <family val="2"/>
      </rPr>
      <t xml:space="preserve"> (s, p, d, f, g) des Orbitals fest.</t>
    </r>
  </si>
  <si>
    <t>die ein Magnetfeld erzeugt (aber nicht zu eng sehen).</t>
  </si>
  <si>
    <t xml:space="preserve">eigene Achse auffassen, also als kreisende Ladung, </t>
  </si>
  <si>
    <r>
      <t>Legt das</t>
    </r>
    <r>
      <rPr>
        <b/>
        <sz val="11"/>
        <color rgb="FF002060"/>
        <rFont val="Arial"/>
        <family val="2"/>
      </rPr>
      <t xml:space="preserve"> Energieniveau</t>
    </r>
    <r>
      <rPr>
        <sz val="11"/>
        <color rgb="FF002060"/>
        <rFont val="Arial"/>
        <family val="2"/>
      </rPr>
      <t xml:space="preserve"> fest, das das Elektron be- </t>
    </r>
  </si>
  <si>
    <t>sitzt. Dieses entspricht der n-ten Bahn bzw. Schale</t>
  </si>
  <si>
    <t>Zentrum des</t>
  </si>
  <si>
    <t>Lochs</t>
  </si>
  <si>
    <t xml:space="preserve">gedehnt bzw. die betrachtete Galaxie entfernt sich von uns. Die kosmologische Rotverschiebung ist aber vom Dopplereffekt, also der Bewegung eines Objekts im Raum, klar zu </t>
  </si>
  <si>
    <t>"Flucht"-Geschwindigkeit des Objekts (Galaxie) bzw.</t>
  </si>
  <si>
    <t xml:space="preserve">Strahlung komplett absorbiert und gleichzeitig Wärmstrahlung emittiert, die unab- </t>
  </si>
  <si>
    <r>
      <t xml:space="preserve">hängig von der Beschaffenheit, wie Material, Oberfläche, …, des Körpers ist und </t>
    </r>
    <r>
      <rPr>
        <b/>
        <sz val="10"/>
        <color theme="1"/>
        <rFont val="Arial"/>
        <family val="2"/>
      </rPr>
      <t/>
    </r>
  </si>
  <si>
    <t xml:space="preserve">gleicher Temperatur gehalten. Somit ist das Sys-  </t>
  </si>
  <si>
    <r>
      <t>Oberfläche, in</t>
    </r>
    <r>
      <rPr>
        <b/>
        <sz val="10"/>
        <color theme="1"/>
        <rFont val="Arial"/>
        <family val="2"/>
      </rPr>
      <t xml:space="preserve"> jedem</t>
    </r>
    <r>
      <rPr>
        <sz val="10"/>
        <color theme="1"/>
        <rFont val="Arial"/>
        <family val="2"/>
      </rPr>
      <t xml:space="preserve"> Wellenbereich stärker als die eines jeden realen Körpers</t>
    </r>
  </si>
  <si>
    <r>
      <t xml:space="preserve">von 2013): Das ist das </t>
    </r>
    <r>
      <rPr>
        <b/>
        <sz val="10"/>
        <color rgb="FFC00000"/>
        <rFont val="Arial"/>
        <family val="2"/>
      </rPr>
      <t>Nachglühen des Urknalls</t>
    </r>
    <r>
      <rPr>
        <sz val="10"/>
        <color rgb="FF002060"/>
        <rFont val="Arial"/>
        <family val="2"/>
      </rPr>
      <t>. Die verschiedenen Farben</t>
    </r>
  </si>
  <si>
    <t>In dieser Gleichung steht links eine wellenkinematische Größe und rechts steht eine</t>
  </si>
  <si>
    <r>
      <t xml:space="preserve">mechanische Größe. Sie ist die </t>
    </r>
    <r>
      <rPr>
        <b/>
        <sz val="10"/>
        <color rgb="FF002060"/>
        <rFont val="Arial"/>
        <family val="2"/>
      </rPr>
      <t>Grundgleichung der Wellenmechanik</t>
    </r>
    <r>
      <rPr>
        <sz val="10"/>
        <color rgb="FF002060"/>
        <rFont val="Arial"/>
        <family val="2"/>
      </rPr>
      <t>.</t>
    </r>
  </si>
  <si>
    <r>
      <t>Größe L</t>
    </r>
    <r>
      <rPr>
        <vertAlign val="subscript"/>
        <sz val="11"/>
        <color rgb="FF002060"/>
        <rFont val="Arial"/>
        <family val="2"/>
      </rPr>
      <t>M</t>
    </r>
    <r>
      <rPr>
        <sz val="11"/>
        <color rgb="FF002060"/>
        <rFont val="Arial"/>
        <family val="2"/>
      </rPr>
      <t xml:space="preserve"> = 2,00 m</t>
    </r>
  </si>
  <si>
    <t>der Sonne aus bis zum Beobachter auf der Erde durchläuft.</t>
  </si>
  <si>
    <r>
      <rPr>
        <sz val="10"/>
        <color theme="9" tint="-0.499984740745262"/>
        <rFont val="Arial"/>
        <family val="2"/>
      </rPr>
      <t xml:space="preserve"> </t>
    </r>
    <r>
      <rPr>
        <u/>
        <sz val="10"/>
        <color theme="9" tint="-0.499984740745262"/>
        <rFont val="Arial"/>
        <family val="2"/>
      </rPr>
      <t>Grafik:  Spiegel.de</t>
    </r>
  </si>
  <si>
    <t>Nachrichtenmagazin DER SPIEGEL Ausgabe 16 / 2016</t>
  </si>
  <si>
    <r>
      <t xml:space="preserve"> (nach</t>
    </r>
    <r>
      <rPr>
        <b/>
        <sz val="11"/>
        <color rgb="FFC00000"/>
        <rFont val="Arial"/>
        <family val="2"/>
      </rPr>
      <t xml:space="preserve"> Walter Bislin</t>
    </r>
    <r>
      <rPr>
        <sz val="11"/>
        <color rgb="FFC00000"/>
        <rFont val="Arial"/>
        <family val="2"/>
      </rPr>
      <t>, siehe unter "Raketenflug Einstein gegen Newton" im Internet)</t>
    </r>
  </si>
  <si>
    <r>
      <t xml:space="preserve">Gedankenexperiment: </t>
    </r>
    <r>
      <rPr>
        <b/>
        <sz val="12"/>
        <color rgb="FF002060"/>
        <rFont val="Arial"/>
        <family val="2"/>
      </rPr>
      <t>Reisen zu fernen Sternen / Galaxien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</si>
  <si>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0              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 0 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</si>
  <si>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91,2 GeV 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 0 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</si>
  <si>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80,4 GeV   /</t>
    </r>
    <r>
      <rPr>
        <b/>
        <sz val="11"/>
        <color theme="1"/>
        <rFont val="Arial"/>
        <family val="2"/>
      </rPr>
      <t xml:space="preserve">  Ladung:</t>
    </r>
    <r>
      <rPr>
        <sz val="11"/>
        <color theme="1"/>
        <rFont val="Arial"/>
        <family val="2"/>
      </rPr>
      <t xml:space="preserve">  ±1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1</t>
    </r>
  </si>
  <si>
    <r>
      <t>Legt die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>Orientierung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>(</t>
    </r>
    <r>
      <rPr>
        <b/>
        <sz val="11"/>
        <color rgb="FF002060"/>
        <rFont val="Calibri"/>
        <family val="2"/>
      </rPr>
      <t>↑↓</t>
    </r>
    <r>
      <rPr>
        <sz val="11"/>
        <color rgb="FF002060"/>
        <rFont val="Calibri"/>
        <family val="2"/>
      </rPr>
      <t xml:space="preserve">) </t>
    </r>
    <r>
      <rPr>
        <sz val="11"/>
        <color rgb="FF002060"/>
        <rFont val="Arial"/>
        <family val="2"/>
      </rPr>
      <t>des Elektronenspins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fest. </t>
    </r>
  </si>
  <si>
    <t xml:space="preserve">Man kann den Spin als Drehung d. Elektrons um die </t>
  </si>
  <si>
    <r>
      <t>und www.</t>
    </r>
    <r>
      <rPr>
        <b/>
        <sz val="10"/>
        <color rgb="FFC00000"/>
        <rFont val="Arial"/>
        <family val="2"/>
      </rPr>
      <t>dieter-heidorn</t>
    </r>
    <r>
      <rPr>
        <sz val="10"/>
        <color rgb="FFC00000"/>
        <rFont val="Arial"/>
        <family val="2"/>
      </rPr>
      <t>.de/Physik …</t>
    </r>
  </si>
  <si>
    <t xml:space="preserve">stimmen (z. B. Bahn und Geschwindigkeit eines Hüllenelektrons) und somit in einem Experiment beobachtbar wären. Die Physiker konnten das Licht zwar sehen </t>
  </si>
  <si>
    <r>
      <t xml:space="preserve">in einem Modell, z. B. n. Bohr, beschrieben wird, nicht ansehen kann. Ein </t>
    </r>
    <r>
      <rPr>
        <b/>
        <sz val="11"/>
        <color theme="1"/>
        <rFont val="Arial"/>
        <family val="2"/>
      </rPr>
      <t>Atom ist unbestimmt!</t>
    </r>
    <r>
      <rPr>
        <sz val="11"/>
        <color theme="1"/>
        <rFont val="Arial"/>
        <family val="2"/>
      </rPr>
      <t xml:space="preserve"> Es hat keine Eigenschaften, die mit unserer Erfahrung überein-</t>
    </r>
  </si>
  <si>
    <t>Elektron seine Quantensprünge macht und dabei Energie emittiert (Photonen) oder absorbiert (Photoeffekt).</t>
  </si>
  <si>
    <t>von Wasserstoff zu Helium. Energie wird frei in Form von Strahlung (Neutrino, Gamma).</t>
  </si>
  <si>
    <t xml:space="preserve">Dass die Wahrscheinlichkeit für den Ablauf der Fusionsprozesse im Kern nicht so hoch </t>
  </si>
  <si>
    <t>ist erkennt man daran, dass erst 6 % des Wasserstoffvorrats d. Sonne verbraucht sind!</t>
  </si>
  <si>
    <t>Grafik: lsw.uni-heidelberg.de</t>
  </si>
  <si>
    <t>https://www.youtube.com/watch?v=dF-Gzr4ioCY</t>
  </si>
  <si>
    <t xml:space="preserve">         Die Sonne, 5 min:</t>
  </si>
  <si>
    <t xml:space="preserve">35 % der Sonnenmasse, Radius 150.000 km, Plasma. Energieerzeugung durch Fusion </t>
  </si>
  <si>
    <r>
      <t xml:space="preserve">64 % d. Sonnenmasse, 450.000 km dick. Energietransport durch Strahlung (Photonen) </t>
    </r>
    <r>
      <rPr>
        <sz val="11"/>
        <color theme="1"/>
        <rFont val="Calibri"/>
        <family val="2"/>
      </rPr>
      <t/>
    </r>
  </si>
  <si>
    <t xml:space="preserve">100.000 km dick. Energietransport durch Konvektion: Aufsteigen von heißem Wasser- </t>
  </si>
  <si>
    <t>stoff in Blasen, die an der Oberfläche die Granulation bilden.</t>
  </si>
  <si>
    <t>Dicke 200 km. Enstehung der Kontinuumsstrahlung und der Fraunhofer´schen Linien.</t>
  </si>
  <si>
    <t>Folge von Turbulenzen und Störungen (Fackeln, Turbulenzen, Protuberanzen).</t>
  </si>
  <si>
    <t xml:space="preserve">Plasma geringer Dichte, einige Sonnen-R stark, geht in Sonnenwind über, nur sichtbar </t>
  </si>
  <si>
    <t>bei Verdeckung der Sonnenscheibe, Temp.-Anstieg auf eine Million K (Ursache unklar).</t>
  </si>
  <si>
    <t xml:space="preserve">bezeichnet. Es findet Deuterium- und Lithium-Fusion statt bei Tempera- </t>
  </si>
  <si>
    <t xml:space="preserve">und sind der Spektralklasse G zugeordnet, leuchten also gelblich. Sie verbrennen ihren Wasserstoff </t>
  </si>
  <si>
    <r>
      <t xml:space="preserve">Beitrag basiert auf "Entfernungen im Weltall" von </t>
    </r>
    <r>
      <rPr>
        <b/>
        <sz val="10"/>
        <color theme="9" tint="-0.499984740745262"/>
        <rFont val="Arial"/>
        <family val="2"/>
      </rPr>
      <t>Reiner Guse</t>
    </r>
    <r>
      <rPr>
        <sz val="10"/>
        <color theme="9" tint="-0.499984740745262"/>
        <rFont val="Arial"/>
        <family val="2"/>
      </rPr>
      <t xml:space="preserve"> (Astro-Stammtisch) 11.04.2008</t>
    </r>
  </si>
  <si>
    <t>Man unterscheidet bei den Elementarteilchen zwei grundlegende Arten:</t>
  </si>
  <si>
    <r>
      <t>Urknall sind erst 13,8 • 10</t>
    </r>
    <r>
      <rPr>
        <vertAlign val="superscript"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 xml:space="preserve"> Jahre vergangen), so dass man letztlich unterstellen kann, dass ein Protonenzerfall experimentell nicht zu beobachten ist. Andererseits </t>
    </r>
  </si>
  <si>
    <t>das Atom nach außen elektrisch neutral. Die Anziehung erfolgt nach dem Coulomb-</t>
  </si>
  <si>
    <r>
      <rPr>
        <sz val="12"/>
        <color theme="1"/>
        <rFont val="Calibri"/>
        <family val="2"/>
      </rPr>
      <t>π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Arial"/>
        <family val="2"/>
      </rPr>
      <t>=</t>
    </r>
  </si>
  <si>
    <t>Visuelle Helligkeit:</t>
  </si>
  <si>
    <t>m [mag]</t>
  </si>
  <si>
    <t>π [´´]</t>
  </si>
  <si>
    <t>λmax [nm]</t>
  </si>
  <si>
    <t>μ [´´]</t>
  </si>
  <si>
    <t>z [1]</t>
  </si>
  <si>
    <t xml:space="preserve">d = </t>
  </si>
  <si>
    <t xml:space="preserve">Distanz d = </t>
  </si>
  <si>
    <t>Maximum der Strahlungkurve:</t>
  </si>
  <si>
    <t xml:space="preserve"> r = </t>
  </si>
  <si>
    <t xml:space="preserve">Berechnung der Distanz d [pc]:   </t>
  </si>
  <si>
    <r>
      <t xml:space="preserve">Periodendauer 30 Tage / m =  22,0 mag / M aus Kurve =  -5,7 mag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Ergebnis: d = 11,3 Mio Lj.</t>
    </r>
  </si>
  <si>
    <r>
      <t xml:space="preserve">Wie aus der Formel hervorgeht, lässt sich die Distanz d berechnen, wenn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und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bekannt sind.</t>
    </r>
  </si>
  <si>
    <t>Wie weit ist der Stern von der Sonne entfernt?</t>
  </si>
  <si>
    <r>
      <rPr>
        <b/>
        <sz val="11"/>
        <color theme="1"/>
        <rFont val="Calibri"/>
        <family val="2"/>
        <scheme val="minor"/>
      </rPr>
      <t>→</t>
    </r>
    <r>
      <rPr>
        <sz val="11"/>
        <color theme="1"/>
        <rFont val="Arial"/>
        <family val="2"/>
      </rPr>
      <t xml:space="preserve"> Permanentes Emittieren, Streuen, Absorbieren und wieder Emittieren von Photonen. </t>
    </r>
  </si>
  <si>
    <t>Der Transport bis zur Ober-Oberfläche der Sonne dauert mehr als eine Million Jahre.</t>
  </si>
  <si>
    <t xml:space="preserve"> Mag</t>
  </si>
  <si>
    <t>Daten kosmsicher Objekte (durch Messungen ermittelt):</t>
  </si>
  <si>
    <t xml:space="preserve">Aldebaran (Stier):  </t>
  </si>
  <si>
    <t>Distanz Objekt - Sonne:</t>
  </si>
  <si>
    <r>
      <t xml:space="preserve">Galilei-Experiment </t>
    </r>
    <r>
      <rPr>
        <sz val="10"/>
        <color theme="9" tint="-0.499984740745262"/>
        <rFont val="Arial"/>
        <family val="2"/>
      </rPr>
      <t xml:space="preserve">(Beitrag basiert auf </t>
    </r>
    <r>
      <rPr>
        <b/>
        <sz val="10"/>
        <color theme="9" tint="-0.499984740745262"/>
        <rFont val="Arial"/>
        <family val="2"/>
      </rPr>
      <t>Ian Stewart</t>
    </r>
    <r>
      <rPr>
        <sz val="10"/>
        <color theme="9" tint="-0.499984740745262"/>
        <rFont val="Arial"/>
        <family val="2"/>
      </rPr>
      <t xml:space="preserve"> </t>
    </r>
    <r>
      <rPr>
        <b/>
        <sz val="10"/>
        <color theme="9" tint="-0.499984740745262"/>
        <rFont val="Arial"/>
        <family val="2"/>
      </rPr>
      <t>"Weltformeln"</t>
    </r>
    <r>
      <rPr>
        <sz val="10"/>
        <color theme="9" tint="-0.499984740745262"/>
        <rFont val="Arial"/>
        <family val="2"/>
      </rPr>
      <t xml:space="preserve"> Kapitel 3)</t>
    </r>
  </si>
  <si>
    <t>Hammer-Feder-Experiment auf dem Mond 1971</t>
  </si>
  <si>
    <r>
      <t xml:space="preserve">Innere Bahn mit niedrigerer Energie </t>
    </r>
    <r>
      <rPr>
        <b/>
        <sz val="11"/>
        <color theme="1"/>
        <rFont val="Arial"/>
        <family val="2"/>
      </rPr>
      <t>E</t>
    </r>
    <r>
      <rPr>
        <b/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: </t>
    </r>
  </si>
  <si>
    <t>https://www.youtube.com/watch?v=-XJxwcOOU6o</t>
  </si>
  <si>
    <t>Prof. T. Lohse, Vorlesung 2017 in Stuttgart "Wie funktoniert die Welt?" 108 min</t>
  </si>
  <si>
    <t>Bild: pngwing.com/de/free …</t>
  </si>
  <si>
    <t>Problem:</t>
  </si>
  <si>
    <r>
      <t xml:space="preserve">Sekante  </t>
    </r>
    <r>
      <rPr>
        <sz val="11"/>
        <color theme="1"/>
        <rFont val="Calibri"/>
        <family val="2"/>
      </rPr>
      <t>→</t>
    </r>
  </si>
  <si>
    <t xml:space="preserve"> Tangente</t>
  </si>
  <si>
    <r>
      <t xml:space="preserve">tan phi </t>
    </r>
    <r>
      <rPr>
        <sz val="11"/>
        <color theme="1"/>
        <rFont val="Calibri"/>
        <family val="2"/>
      </rPr>
      <t>→</t>
    </r>
  </si>
  <si>
    <t xml:space="preserve"> tan alpha</t>
  </si>
  <si>
    <t xml:space="preserve">  s = Weg</t>
  </si>
  <si>
    <t xml:space="preserve">   t = Zeit</t>
  </si>
  <si>
    <t xml:space="preserve">  g = Erdbeschleunigung</t>
  </si>
  <si>
    <t>Zeit t</t>
  </si>
  <si>
    <t xml:space="preserve">v [m/s] = </t>
  </si>
  <si>
    <t xml:space="preserve">t = </t>
  </si>
  <si>
    <t xml:space="preserve"> s </t>
  </si>
  <si>
    <t xml:space="preserve"> m/s²</t>
  </si>
  <si>
    <t xml:space="preserve"> m/s</t>
  </si>
  <si>
    <t xml:space="preserve"> [hier ist x = t (Zeit)]</t>
  </si>
  <si>
    <t>Beispiel Freier Fall</t>
  </si>
  <si>
    <t xml:space="preserve"> Null</t>
  </si>
  <si>
    <t xml:space="preserve">Die Differentialrechnung ermöglicht es, zu einer gegebenen Stammfunktion  </t>
  </si>
  <si>
    <t>y = f(x) die abgeleitete Funktion y´= f´(x) zu ermitteln. Im Beispiel hier ist die</t>
  </si>
  <si>
    <t>Zwischen den zwei Abszissen a und b die zugehörige Fläche zu berechnen.</t>
  </si>
  <si>
    <t>Die Differentiationsregel für die Potenzfunktion mit konstantem Faktor k in</t>
  </si>
  <si>
    <t>Die zur Differentiationsregel analoge Integrationsregel hat die allgem. Form:</t>
  </si>
  <si>
    <t>Weg s ist eine Funktion der Zeit t</t>
  </si>
  <si>
    <r>
      <t xml:space="preserve"> Δx </t>
    </r>
    <r>
      <rPr>
        <sz val="11"/>
        <color theme="1"/>
        <rFont val="Calibri"/>
        <family val="2"/>
        <scheme val="minor"/>
      </rPr>
      <t>→</t>
    </r>
    <r>
      <rPr>
        <sz val="11"/>
        <color theme="1"/>
        <rFont val="Arial"/>
        <family val="2"/>
      </rPr>
      <t xml:space="preserve">  </t>
    </r>
  </si>
  <si>
    <r>
      <t xml:space="preserve">B  bzw. b </t>
    </r>
    <r>
      <rPr>
        <sz val="11"/>
        <color theme="1"/>
        <rFont val="Calibri"/>
        <family val="2"/>
      </rPr>
      <t>→</t>
    </r>
  </si>
  <si>
    <t xml:space="preserve"> A  bzw. a </t>
  </si>
  <si>
    <t xml:space="preserve">   Problem:</t>
  </si>
  <si>
    <t xml:space="preserve">   (nach Galilei)</t>
  </si>
  <si>
    <t xml:space="preserve">   Freier Fall einer Kugel</t>
  </si>
  <si>
    <r>
      <t xml:space="preserve">Umstellen von b - a = </t>
    </r>
    <r>
      <rPr>
        <sz val="10"/>
        <color theme="1"/>
        <rFont val="Calibri"/>
        <family val="2"/>
      </rPr>
      <t>Δx</t>
    </r>
  </si>
  <si>
    <r>
      <t xml:space="preserve">ergibt a = b wenn Δx </t>
    </r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0.</t>
    </r>
  </si>
  <si>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b = x </t>
    </r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a + b = 2x</t>
    </r>
  </si>
  <si>
    <t xml:space="preserve"> für jeden Zeitpunkt t die Momentan-Geschwindigkeit v berechnen.</t>
  </si>
  <si>
    <t xml:space="preserve">       Weg s</t>
  </si>
  <si>
    <t xml:space="preserve"> Konstanter Faktor k bleibt u. kann</t>
  </si>
  <si>
    <t xml:space="preserve"> vor das Integral gezogen werden.</t>
  </si>
  <si>
    <t xml:space="preserve">In dem Beispiel ist k die Erdbeschleunigung g, x steht für die Zeit t und der </t>
  </si>
  <si>
    <t>2. Integralrechnung</t>
  </si>
  <si>
    <t>Die Integralrechnung ist eigentlich das Gegenteil der Differentialrechnung!</t>
  </si>
  <si>
    <r>
      <t xml:space="preserve">der allgemeinen Form heißt </t>
    </r>
    <r>
      <rPr>
        <sz val="12"/>
        <color theme="1"/>
        <rFont val="Calibri"/>
        <family val="2"/>
      </rPr>
      <t>→</t>
    </r>
  </si>
  <si>
    <r>
      <t xml:space="preserve">Die Ableitung davon ergibt   </t>
    </r>
    <r>
      <rPr>
        <sz val="11"/>
        <color theme="1"/>
        <rFont val="Calibri"/>
        <family val="2"/>
        <scheme val="minor"/>
      </rPr>
      <t>→</t>
    </r>
  </si>
  <si>
    <r>
      <t xml:space="preserve">Binomische Formel </t>
    </r>
    <r>
      <rPr>
        <sz val="10"/>
        <color theme="1"/>
        <rFont val="Calibri"/>
        <family val="2"/>
      </rPr>
      <t>→</t>
    </r>
  </si>
  <si>
    <t>Steigung der Sekante:</t>
  </si>
  <si>
    <t>Steigung der Tangente:</t>
  </si>
  <si>
    <t xml:space="preserve"> v ist die Geschwindigkeit</t>
  </si>
  <si>
    <r>
      <t xml:space="preserve">Exponent n ist 1. Man erhält so die o. a. Stammfunktion f(x) für den </t>
    </r>
    <r>
      <rPr>
        <b/>
        <sz val="11"/>
        <color theme="9" tint="-0.249977111117893"/>
        <rFont val="Arial"/>
        <family val="2"/>
      </rPr>
      <t>Weg s</t>
    </r>
    <r>
      <rPr>
        <sz val="11"/>
        <color theme="1"/>
        <rFont val="Arial"/>
        <family val="2"/>
      </rPr>
      <t xml:space="preserve"> </t>
    </r>
  </si>
  <si>
    <t xml:space="preserve">beim Freien Fall. </t>
  </si>
  <si>
    <t>Elektronen auch keine separaten, abgegrenzten Atome aufbauen. Die Quantenmechanik geht davon aus, dass die Kräfte der Wechselwirkungen (Änderung von</t>
  </si>
  <si>
    <t xml:space="preserve">Würde das Pauli-Prinzip nicht gelten, dann könnten die Quarks keine separaten, abgegrenzten Protonen u. Neutronen bilden und diese dann zusammen mit den </t>
  </si>
  <si>
    <r>
      <t xml:space="preserve">        In jedem Punkt einer durch die</t>
    </r>
    <r>
      <rPr>
        <sz val="11"/>
        <rFont val="Arial"/>
        <family val="2"/>
      </rPr>
      <t xml:space="preserve"> Funktion y = f(x) </t>
    </r>
    <r>
      <rPr>
        <sz val="11"/>
        <color theme="1"/>
        <rFont val="Arial"/>
        <family val="2"/>
      </rPr>
      <t xml:space="preserve">gegebenen Kurve die </t>
    </r>
  </si>
  <si>
    <r>
      <t xml:space="preserve">   </t>
    </r>
    <r>
      <rPr>
        <b/>
        <sz val="12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Tangenten-Problem</t>
    </r>
    <r>
      <rPr>
        <sz val="11"/>
        <color theme="1"/>
        <rFont val="Arial"/>
        <family val="2"/>
      </rPr>
      <t>, Lösung: Infinitisimal- bzw. Differentialrechnung!</t>
    </r>
  </si>
  <si>
    <t>erklärt am Beispiel "Freier Fall"</t>
  </si>
  <si>
    <r>
      <t xml:space="preserve">Stammfunktion für den </t>
    </r>
    <r>
      <rPr>
        <sz val="11"/>
        <color rgb="FFFF0000"/>
        <rFont val="Arial"/>
        <family val="2"/>
      </rPr>
      <t>Weg s</t>
    </r>
    <r>
      <rPr>
        <sz val="11"/>
        <color theme="1"/>
        <rFont val="Arial"/>
        <family val="2"/>
      </rPr>
      <t xml:space="preserve">: </t>
    </r>
  </si>
  <si>
    <r>
      <t xml:space="preserve">Differenzieren ergibt die abgeleitete Funktion für die </t>
    </r>
    <r>
      <rPr>
        <sz val="11"/>
        <color rgb="FF00B050"/>
        <rFont val="Arial"/>
        <family val="2"/>
      </rPr>
      <t>Geschwindigkeit v</t>
    </r>
    <r>
      <rPr>
        <sz val="11"/>
        <color theme="1"/>
        <rFont val="Arial"/>
        <family val="2"/>
      </rPr>
      <t>:</t>
    </r>
  </si>
  <si>
    <t xml:space="preserve">und Strahlungsdruck die Waage. Das ist bei unserem Heimatstern seit 4,5 Milliarden Jahren der Fall. </t>
  </si>
  <si>
    <t xml:space="preserve">                                              Galaxie M81 </t>
  </si>
  <si>
    <t xml:space="preserve">                                           Durchmesser 92000 Lj</t>
  </si>
  <si>
    <r>
      <rPr>
        <b/>
        <sz val="12"/>
        <color rgb="FF002060"/>
        <rFont val="Arial"/>
        <family val="2"/>
      </rPr>
      <t xml:space="preserve"> </t>
    </r>
    <r>
      <rPr>
        <b/>
        <u/>
        <sz val="12"/>
        <color rgb="FF002060"/>
        <rFont val="Arial"/>
        <family val="2"/>
      </rPr>
      <t>Bosonen</t>
    </r>
    <r>
      <rPr>
        <b/>
        <sz val="12"/>
        <color rgb="FF002060"/>
        <rFont val="Arial"/>
        <family val="2"/>
      </rPr>
      <t>:</t>
    </r>
    <r>
      <rPr>
        <b/>
        <u/>
        <sz val="12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/>
    </r>
  </si>
  <si>
    <r>
      <t>Fermionen</t>
    </r>
    <r>
      <rPr>
        <b/>
        <sz val="12"/>
        <color rgb="FF002060"/>
        <rFont val="Arial"/>
        <family val="2"/>
      </rPr>
      <t>:</t>
    </r>
  </si>
  <si>
    <r>
      <rPr>
        <b/>
        <sz val="11"/>
        <color rgb="FF002060"/>
        <rFont val="Arial"/>
        <family val="2"/>
      </rPr>
      <t xml:space="preserve">Beispiele: </t>
    </r>
    <r>
      <rPr>
        <sz val="11"/>
        <color rgb="FF002060"/>
        <rFont val="Arial"/>
        <family val="2"/>
      </rPr>
      <t xml:space="preserve"> </t>
    </r>
    <r>
      <rPr>
        <sz val="10"/>
        <color rgb="FF002060"/>
        <rFont val="Arial"/>
        <family val="2"/>
      </rPr>
      <t xml:space="preserve">Proton </t>
    </r>
    <r>
      <rPr>
        <b/>
        <sz val="10"/>
        <color rgb="FF002060"/>
        <rFont val="Calibri"/>
        <family val="2"/>
      </rPr>
      <t>→ ←</t>
    </r>
    <r>
      <rPr>
        <sz val="10"/>
        <color rgb="FF002060"/>
        <rFont val="Arial"/>
        <family val="2"/>
      </rPr>
      <t xml:space="preserve"> Elektron, Neutron </t>
    </r>
    <r>
      <rPr>
        <b/>
        <sz val="10"/>
        <color rgb="FF002060"/>
        <rFont val="Calibri"/>
        <family val="2"/>
      </rPr>
      <t>→ ←</t>
    </r>
    <r>
      <rPr>
        <sz val="10"/>
        <color rgb="FF002060"/>
        <rFont val="Arial"/>
        <family val="2"/>
      </rPr>
      <t xml:space="preserve"> Neutron, Ich </t>
    </r>
    <r>
      <rPr>
        <b/>
        <sz val="10"/>
        <color rgb="FF002060"/>
        <rFont val="Calibri"/>
        <family val="2"/>
        <scheme val="minor"/>
      </rPr>
      <t>→ ←</t>
    </r>
    <r>
      <rPr>
        <sz val="10"/>
        <color rgb="FF002060"/>
        <rFont val="Arial"/>
        <family val="2"/>
      </rPr>
      <t xml:space="preserve"> Du, Erde </t>
    </r>
    <r>
      <rPr>
        <b/>
        <sz val="10"/>
        <color rgb="FF002060"/>
        <rFont val="Calibri"/>
        <family val="2"/>
        <scheme val="minor"/>
      </rPr>
      <t>→ ←</t>
    </r>
    <r>
      <rPr>
        <sz val="10"/>
        <color rgb="FF002060"/>
        <rFont val="Arial"/>
        <family val="2"/>
      </rPr>
      <t xml:space="preserve"> Mond, </t>
    </r>
  </si>
  <si>
    <r>
      <t xml:space="preserve">                   </t>
    </r>
    <r>
      <rPr>
        <sz val="10"/>
        <color rgb="FF002060"/>
        <rFont val="Arial"/>
        <family val="2"/>
      </rPr>
      <t xml:space="preserve">Sonne </t>
    </r>
    <r>
      <rPr>
        <b/>
        <sz val="10"/>
        <color rgb="FF002060"/>
        <rFont val="Calibri"/>
        <family val="2"/>
        <scheme val="minor"/>
      </rPr>
      <t>→ ←</t>
    </r>
    <r>
      <rPr>
        <sz val="10"/>
        <color rgb="FF002060"/>
        <rFont val="Arial"/>
        <family val="2"/>
      </rPr>
      <t xml:space="preserve"> Erde, Sonne </t>
    </r>
    <r>
      <rPr>
        <b/>
        <sz val="10"/>
        <color rgb="FF002060"/>
        <rFont val="Calibri"/>
        <family val="2"/>
        <scheme val="minor"/>
      </rPr>
      <t>→ ←</t>
    </r>
    <r>
      <rPr>
        <sz val="10"/>
        <color rgb="FF002060"/>
        <rFont val="Arial"/>
        <family val="2"/>
      </rPr>
      <t xml:space="preserve"> Alpha-Centauri, …</t>
    </r>
  </si>
  <si>
    <t xml:space="preserve">Die Gravitation ist die schwächste der vier Kräfte. Sie ist universell und das besagt: </t>
  </si>
  <si>
    <t>Die Gravitationskraft ist die Zentripetalkraft</t>
  </si>
  <si>
    <t>ohne weiteren Antrieb, also ballistisch, zu entkommen.</t>
  </si>
  <si>
    <t xml:space="preserve">zu 20 % der Lichtgeschwindigkeit erreichen und würden deshalb nur </t>
  </si>
  <si>
    <t xml:space="preserve">Auf der Lichtwelle surfend könnten die "interstellaren Segelboote" bis </t>
  </si>
  <si>
    <t>20 Jahre unterwegs sein, bis zu  Alpha Centauri (siehe Beispiel oben).</t>
  </si>
  <si>
    <t xml:space="preserve">4,24 Lichtjahre    </t>
  </si>
  <si>
    <t xml:space="preserve">wird angegeben als das Verhältnis der Wellenlängenänderung zur ursprünglichen </t>
  </si>
  <si>
    <t>Wellenlänge.</t>
  </si>
  <si>
    <t>Die Uhr des</t>
  </si>
  <si>
    <t>Raumfahrers geht,</t>
  </si>
  <si>
    <t xml:space="preserve">Die Uhr des </t>
  </si>
  <si>
    <r>
      <t>Beispiel aus der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>Realität</t>
    </r>
    <r>
      <rPr>
        <b/>
        <sz val="11"/>
        <color rgb="FF002060"/>
        <rFont val="Arial"/>
        <family val="2"/>
      </rPr>
      <t>:</t>
    </r>
  </si>
  <si>
    <t>Weglänge l = 299792,458 km, für die das Licht genau eine Sekunde benötigt (das ist fast die Distanz Erde - Mond von 384000 km).</t>
  </si>
  <si>
    <t>Anzahl der Sonnen:</t>
  </si>
  <si>
    <t>von mehreren (n) Sonnen(-Massen) zu:</t>
  </si>
  <si>
    <t>Pauli´sches Ausschlussprinzip:</t>
  </si>
  <si>
    <t xml:space="preserve">Alle Orbitale müssen zunächst einfach und dann unter Spin-Umkehrung </t>
  </si>
  <si>
    <r>
      <rPr>
        <b/>
        <sz val="10"/>
        <color theme="9" tint="-0.499984740745262"/>
        <rFont val="Arial"/>
        <family val="2"/>
      </rPr>
      <t>*)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Da </t>
    </r>
    <r>
      <rPr>
        <b/>
        <sz val="10"/>
        <rFont val="Arial"/>
        <family val="2"/>
      </rPr>
      <t>v</t>
    </r>
    <r>
      <rPr>
        <b/>
        <vertAlign val="subscript"/>
        <sz val="10"/>
        <rFont val="Arial"/>
        <family val="2"/>
      </rPr>
      <t>n</t>
    </r>
    <r>
      <rPr>
        <b/>
        <sz val="10"/>
        <rFont val="Arial"/>
        <family val="2"/>
      </rPr>
      <t xml:space="preserve"> &lt;&lt; c </t>
    </r>
    <r>
      <rPr>
        <sz val="10"/>
        <rFont val="Arial"/>
        <family val="2"/>
      </rPr>
      <t>ist es eigentlich nicht nötig die relativistische Masse anzusetzen!</t>
    </r>
  </si>
  <si>
    <r>
      <t>Bewegte (relativistische) Masse</t>
    </r>
    <r>
      <rPr>
        <b/>
        <sz val="11"/>
        <color theme="9" tint="-0.499984740745262"/>
        <rFont val="Arial"/>
        <family val="2"/>
      </rPr>
      <t>*</t>
    </r>
    <r>
      <rPr>
        <sz val="11"/>
        <color rgb="FF002060"/>
        <rFont val="Arial"/>
        <family val="2"/>
      </rPr>
      <t xml:space="preserve"> Elektron bei Umlaufgeschwindigkeit v</t>
    </r>
    <r>
      <rPr>
        <vertAlign val="subscript"/>
        <sz val="11"/>
        <color rgb="FF002060"/>
        <rFont val="Arial"/>
        <family val="2"/>
      </rPr>
      <t>n</t>
    </r>
    <r>
      <rPr>
        <sz val="11"/>
        <color rgb="FF002060"/>
        <rFont val="Arial"/>
        <family val="2"/>
      </rPr>
      <t>:</t>
    </r>
  </si>
  <si>
    <r>
      <rPr>
        <b/>
        <sz val="11"/>
        <color rgb="FF002060"/>
        <rFont val="Arial"/>
        <family val="2"/>
      </rPr>
      <t xml:space="preserve">Grundzustand (n = 1) </t>
    </r>
    <r>
      <rPr>
        <sz val="11"/>
        <color rgb="FF002060"/>
        <rFont val="Arial"/>
        <family val="2"/>
      </rPr>
      <t>beträgt</t>
    </r>
    <r>
      <rPr>
        <b/>
        <sz val="11"/>
        <color rgb="FF002060"/>
        <rFont val="Arial"/>
        <family val="2"/>
      </rPr>
      <t xml:space="preserve"> -2,180 </t>
    </r>
    <r>
      <rPr>
        <b/>
        <sz val="11"/>
        <color rgb="FF002060"/>
        <rFont val="Calibri"/>
        <family val="2"/>
      </rPr>
      <t>·</t>
    </r>
    <r>
      <rPr>
        <b/>
        <sz val="11"/>
        <color rgb="FF002060"/>
        <rFont val="Arial"/>
        <family val="2"/>
      </rPr>
      <t xml:space="preserve"> 10</t>
    </r>
    <r>
      <rPr>
        <b/>
        <vertAlign val="superscript"/>
        <sz val="11"/>
        <color rgb="FF002060"/>
        <rFont val="Arial"/>
        <family val="2"/>
      </rPr>
      <t>-18</t>
    </r>
    <r>
      <rPr>
        <b/>
        <sz val="11"/>
        <color rgb="FF002060"/>
        <rFont val="Arial"/>
        <family val="2"/>
      </rPr>
      <t xml:space="preserve"> J bzw. -13,61 eV</t>
    </r>
    <r>
      <rPr>
        <sz val="11"/>
        <color rgb="FF002060"/>
        <rFont val="Arial"/>
        <family val="2"/>
      </rPr>
      <t xml:space="preserve">. Umgekehrt wird diese Energie +2,180 </t>
    </r>
    <r>
      <rPr>
        <sz val="11"/>
        <color rgb="FF002060"/>
        <rFont val="Calibri"/>
        <family val="2"/>
      </rPr>
      <t>·</t>
    </r>
    <r>
      <rPr>
        <sz val="11"/>
        <color rgb="FF002060"/>
        <rFont val="Arial"/>
        <family val="2"/>
      </rPr>
      <t xml:space="preserve"> 10</t>
    </r>
    <r>
      <rPr>
        <vertAlign val="superscript"/>
        <sz val="11"/>
        <color rgb="FF002060"/>
        <rFont val="Arial"/>
        <family val="2"/>
      </rPr>
      <t>-18</t>
    </r>
    <r>
      <rPr>
        <sz val="11"/>
        <color rgb="FF002060"/>
        <rFont val="Arial"/>
        <family val="2"/>
      </rPr>
      <t xml:space="preserve"> J bzw. +13,61 eV frei, wenn ein freies Elektron (e-) </t>
    </r>
  </si>
  <si>
    <r>
      <t>Erwin Schrödinger wählte 1927 einen wellenmechanischen Ansatz nach De Broglie (</t>
    </r>
    <r>
      <rPr>
        <sz val="11"/>
        <color theme="9" tint="-0.499984740745262"/>
        <rFont val="Arial"/>
        <family val="2"/>
      </rPr>
      <t>s. Sammelsurium S. 13</t>
    </r>
    <r>
      <rPr>
        <sz val="11"/>
        <color rgb="FF002060"/>
        <rFont val="Arial"/>
        <family val="2"/>
      </rPr>
      <t xml:space="preserve">),  </t>
    </r>
  </si>
  <si>
    <r>
      <t>m³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</si>
  <si>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r>
      <t>Teilchen ist wie ein Pfeil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Calibri"/>
        <family val="2"/>
      </rPr>
      <t xml:space="preserve">↑ </t>
    </r>
    <r>
      <rPr>
        <sz val="11"/>
        <rFont val="Arial"/>
        <family val="2"/>
      </rPr>
      <t xml:space="preserve">und sieht </t>
    </r>
    <r>
      <rPr>
        <sz val="11"/>
        <color theme="1"/>
        <rFont val="Arial"/>
        <family val="2"/>
      </rPr>
      <t xml:space="preserve">aus unterschiedlichen Richtungen verschieden </t>
    </r>
  </si>
  <si>
    <r>
      <t xml:space="preserve">4-Kern in Energie umgewandelt und zwar nach Einsteins berühmter Formel  </t>
    </r>
    <r>
      <rPr>
        <b/>
        <sz val="12"/>
        <color theme="9" tint="-0.499984740745262"/>
        <rFont val="Calibri"/>
        <family val="2"/>
      </rPr>
      <t>→</t>
    </r>
  </si>
  <si>
    <r>
      <t>Diese Masse von 4,6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10</t>
    </r>
    <r>
      <rPr>
        <b/>
        <vertAlign val="superscript"/>
        <sz val="11"/>
        <color theme="1"/>
        <rFont val="Arial"/>
        <family val="2"/>
      </rPr>
      <t>-29</t>
    </r>
    <r>
      <rPr>
        <sz val="11"/>
        <color theme="1"/>
        <rFont val="Arial"/>
        <family val="2"/>
      </rPr>
      <t xml:space="preserve"> kg wird beim Verschmelzen von vier Wasserstoff-Kernen zu einem Helium-</t>
    </r>
  </si>
  <si>
    <t>Das quantenmechanische Atommodell gehorscht folgenden Gesetzmäßigkeiten:</t>
  </si>
  <si>
    <t>Entdeckt 1925 von Wolfgang Pauli (1900 - 1958), österreichischer Physiker.</t>
  </si>
  <si>
    <r>
      <t xml:space="preserve">wellen </t>
    </r>
    <r>
      <rPr>
        <b/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Dopplereffekt</t>
    </r>
    <r>
      <rPr>
        <sz val="10"/>
        <rFont val="Arial"/>
        <family val="2"/>
      </rPr>
      <t>:</t>
    </r>
    <r>
      <rPr>
        <sz val="10"/>
        <color theme="1"/>
        <rFont val="Arial"/>
        <family val="2"/>
      </rPr>
      <t xml:space="preserve"> Entfernen sich Sender und Empfänger voneinander, so</t>
    </r>
  </si>
  <si>
    <t>https://www.youtube.com/watch?v=ACD_qndPwws</t>
  </si>
  <si>
    <t xml:space="preserve"> m/s im Vakuum</t>
  </si>
  <si>
    <t>Das schwarze Loch im Zentrum der Milchstraße wird zu ca. n = 4,3 Mio. Sonnen errechnet.</t>
  </si>
  <si>
    <t xml:space="preserve">                              Murray Gell-Mann 1929 -2019</t>
  </si>
  <si>
    <t xml:space="preserve">      gleichförmigen Bewegung, absolut feststellbar!</t>
  </si>
  <si>
    <t xml:space="preserve">Zum Paradoxon wird die Situation erst durch den Grundsatz, dass nach der speziellen Relativitätstheorie </t>
  </si>
  <si>
    <r>
      <t>alle Inertialsysteme, also Bezugssysteme die mit gleichförmiger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Geschwindigkeit zueinander bewegt sind, </t>
    </r>
  </si>
  <si>
    <t>Aus Sicht von Sepp auf der Erde macht die Uhr von Max im Zeitpunkt der Umkehr einen Riesensprung! **</t>
  </si>
  <si>
    <r>
      <t xml:space="preserve">  </t>
    </r>
    <r>
      <rPr>
        <b/>
        <sz val="10"/>
        <color theme="9" tint="-0.499984740745262"/>
        <rFont val="Arial"/>
        <family val="2"/>
      </rPr>
      <t xml:space="preserve"> *)</t>
    </r>
    <r>
      <rPr>
        <b/>
        <sz val="10"/>
        <color rgb="FF002060"/>
        <rFont val="Arial"/>
        <family val="2"/>
      </rPr>
      <t xml:space="preserve"> Eine Beschleunigung ist, im Gegensatz zu einer</t>
    </r>
  </si>
  <si>
    <t>Dynamische oder relativistische Masse</t>
  </si>
  <si>
    <t>peraturen unter 1000 K wird fast nur Infrarot-, also Wärmestrahlung, emittiert. Bei</t>
  </si>
  <si>
    <r>
      <rPr>
        <b/>
        <sz val="10"/>
        <color rgb="FFFF0000"/>
        <rFont val="Calibri"/>
        <family val="2"/>
      </rPr>
      <t xml:space="preserve">← </t>
    </r>
    <r>
      <rPr>
        <b/>
        <sz val="10"/>
        <color rgb="FFFF0000"/>
        <rFont val="Arial"/>
        <family val="2"/>
      </rPr>
      <t>Terra in cognita</t>
    </r>
  </si>
  <si>
    <t xml:space="preserve">Bei Absorption wird ein Photon dieser Energie aufgenommen und das Elektron von </t>
  </si>
  <si>
    <t>Das Elektron wird durch die Coulombsche Anziehung auf einer Kreisbahn gehalten,</t>
  </si>
  <si>
    <r>
      <t xml:space="preserve">(Vorzeichen </t>
    </r>
    <r>
      <rPr>
        <b/>
        <sz val="10"/>
        <rFont val="Arial"/>
        <family val="2"/>
      </rPr>
      <t>negativ</t>
    </r>
    <r>
      <rPr>
        <sz val="10"/>
        <color theme="1"/>
        <rFont val="Arial"/>
        <family val="2"/>
      </rPr>
      <t>, weil zur Änderung des Zustands Energie aufzubringen ist)</t>
    </r>
  </si>
  <si>
    <r>
      <t>niedrigerer Energie (</t>
    </r>
    <r>
      <rPr>
        <b/>
        <sz val="10"/>
        <color theme="1"/>
        <rFont val="Arial"/>
        <family val="2"/>
      </rPr>
      <t>E</t>
    </r>
    <r>
      <rPr>
        <b/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 xml:space="preserve">) wird die Energiedifferenz als </t>
    </r>
    <r>
      <rPr>
        <b/>
        <sz val="10"/>
        <color rgb="FF002060"/>
        <rFont val="Arial"/>
        <family val="2"/>
      </rPr>
      <t>Photon</t>
    </r>
    <r>
      <rPr>
        <sz val="10"/>
        <color rgb="FF002060"/>
        <rFont val="Arial"/>
        <family val="2"/>
      </rPr>
      <t xml:space="preserve"> (</t>
    </r>
    <r>
      <rPr>
        <sz val="10"/>
        <color rgb="FF002060"/>
        <rFont val="Calibri"/>
        <family val="2"/>
      </rPr>
      <t>Δ</t>
    </r>
    <r>
      <rPr>
        <sz val="10"/>
        <color rgb="FF002060"/>
        <rFont val="Arial"/>
        <family val="2"/>
      </rPr>
      <t xml:space="preserve">E = h · f) </t>
    </r>
    <r>
      <rPr>
        <sz val="10"/>
        <rFont val="Arial"/>
        <family val="2"/>
      </rPr>
      <t xml:space="preserve">emittiert. </t>
    </r>
  </si>
  <si>
    <r>
      <t>Bei Übergang eines Elektrons von einer Bahn höherer Energie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E</t>
    </r>
    <r>
      <rPr>
        <b/>
        <vertAlign val="subscript"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) zu einer Bahn </t>
    </r>
  </si>
  <si>
    <r>
      <t>einer Bahn niedrigerer Energie (</t>
    </r>
    <r>
      <rPr>
        <b/>
        <sz val="10"/>
        <color theme="1"/>
        <rFont val="Arial"/>
        <family val="2"/>
      </rPr>
      <t>E</t>
    </r>
    <r>
      <rPr>
        <b/>
        <vertAlign val="subscript"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) auf eine Bahn höherer Energie (</t>
    </r>
    <r>
      <rPr>
        <b/>
        <sz val="10"/>
        <color theme="1"/>
        <rFont val="Arial"/>
        <family val="2"/>
      </rPr>
      <t>Em</t>
    </r>
    <r>
      <rPr>
        <sz val="10"/>
        <color theme="1"/>
        <rFont val="Arial"/>
        <family val="2"/>
      </rPr>
      <t>) befördert.</t>
    </r>
  </si>
  <si>
    <t>https://www.youtube.com/watch?v=BzlHLd1-7qk</t>
  </si>
  <si>
    <r>
      <rPr>
        <b/>
        <sz val="10"/>
        <color rgb="FFC00000"/>
        <rFont val="Arial"/>
        <family val="2"/>
      </rPr>
      <t xml:space="preserve">     </t>
    </r>
    <r>
      <rPr>
        <u/>
        <sz val="10"/>
        <color rgb="FFC00000"/>
        <rFont val="Arial"/>
        <family val="2"/>
      </rPr>
      <t>Bild:</t>
    </r>
    <r>
      <rPr>
        <b/>
        <u/>
        <sz val="10"/>
        <color rgb="FFC00000"/>
        <rFont val="Arial"/>
        <family val="2"/>
      </rPr>
      <t xml:space="preserve"> Ute Kraus, </t>
    </r>
    <r>
      <rPr>
        <u/>
        <sz val="10"/>
        <color rgb="FFC00000"/>
        <rFont val="Arial"/>
        <family val="2"/>
      </rPr>
      <t>Institut für Physik Universität Hildesheim</t>
    </r>
    <r>
      <rPr>
        <sz val="10"/>
        <color rgb="FFC00000"/>
        <rFont val="Arial"/>
        <family val="2"/>
      </rPr>
      <t xml:space="preserve">      </t>
    </r>
    <r>
      <rPr>
        <b/>
        <sz val="10"/>
        <color rgb="FFC00000"/>
        <rFont val="Arial"/>
        <family val="2"/>
      </rPr>
      <t xml:space="preserve"> </t>
    </r>
    <r>
      <rPr>
        <b/>
        <sz val="12"/>
        <color rgb="FFC00000"/>
        <rFont val="Calibri"/>
        <family val="2"/>
      </rPr>
      <t>→</t>
    </r>
  </si>
  <si>
    <t xml:space="preserve">eine Supernova und ist auch ein Pulsar. Dass Magnetfelder und in Folge Strahlung entstehen liegt </t>
  </si>
  <si>
    <r>
      <t xml:space="preserve">an den </t>
    </r>
    <r>
      <rPr>
        <b/>
        <sz val="11"/>
        <rFont val="Arial"/>
        <family val="2"/>
      </rPr>
      <t>Elektronen</t>
    </r>
    <r>
      <rPr>
        <sz val="11"/>
        <rFont val="Arial"/>
        <family val="2"/>
      </rPr>
      <t xml:space="preserve"> in der äußeren Kruste, die durch die Drehung zentrifugal </t>
    </r>
    <r>
      <rPr>
        <b/>
        <sz val="11"/>
        <rFont val="Arial"/>
        <family val="2"/>
      </rPr>
      <t>beschleunigt</t>
    </r>
    <r>
      <rPr>
        <sz val="11"/>
        <rFont val="Arial"/>
        <family val="2"/>
      </rPr>
      <t xml:space="preserve"> werden.</t>
    </r>
  </si>
  <si>
    <r>
      <rPr>
        <sz val="10"/>
        <color rgb="FF0070C0"/>
        <rFont val="Arial"/>
        <family val="2"/>
      </rPr>
      <t>Elektro</t>
    </r>
    <r>
      <rPr>
        <sz val="10"/>
        <color rgb="FFC00000"/>
        <rFont val="Arial"/>
        <family val="2"/>
      </rPr>
      <t xml:space="preserve">magnetische </t>
    </r>
    <r>
      <rPr>
        <sz val="10"/>
        <rFont val="Arial"/>
        <family val="2"/>
      </rPr>
      <t xml:space="preserve">Welle aus. </t>
    </r>
    <r>
      <rPr>
        <sz val="10"/>
        <color rgb="FF0070C0"/>
        <rFont val="Arial"/>
        <family val="2"/>
      </rPr>
      <t>Elektrisches</t>
    </r>
    <r>
      <rPr>
        <sz val="10"/>
        <rFont val="Arial"/>
        <family val="2"/>
      </rPr>
      <t xml:space="preserve"> und </t>
    </r>
    <r>
      <rPr>
        <sz val="10"/>
        <color theme="9" tint="-0.499984740745262"/>
        <rFont val="Arial"/>
        <family val="2"/>
      </rPr>
      <t>magnetisches</t>
    </r>
    <r>
      <rPr>
        <sz val="10"/>
        <rFont val="Arial"/>
        <family val="2"/>
      </rPr>
      <t xml:space="preserve"> Feld stehen dabei senkrecht 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</si>
  <si>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126 GeV    /</t>
    </r>
    <r>
      <rPr>
        <b/>
        <sz val="11"/>
        <color theme="1"/>
        <rFont val="Arial"/>
        <family val="2"/>
      </rPr>
      <t xml:space="preserve">   Ladung: </t>
    </r>
    <r>
      <rPr>
        <sz val="11"/>
        <color theme="1"/>
        <rFont val="Arial"/>
        <family val="2"/>
      </rPr>
      <t xml:space="preserve">  0 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0</t>
    </r>
  </si>
  <si>
    <r>
      <t>4 H-Kerne</t>
    </r>
    <r>
      <rPr>
        <sz val="11"/>
        <color theme="9" tint="-0.499984740745262"/>
        <rFont val="Arial"/>
        <family val="2"/>
      </rPr>
      <t>***</t>
    </r>
    <r>
      <rPr>
        <sz val="11"/>
        <rFont val="Arial"/>
        <family val="2"/>
      </rPr>
      <t>=</t>
    </r>
  </si>
  <si>
    <r>
      <t>1 He4-Kern</t>
    </r>
    <r>
      <rPr>
        <sz val="11"/>
        <color theme="9" tint="-0.499984740745262"/>
        <rFont val="Arial"/>
        <family val="2"/>
      </rPr>
      <t>***</t>
    </r>
    <r>
      <rPr>
        <sz val="11"/>
        <rFont val="Arial"/>
        <family val="2"/>
      </rPr>
      <t>=</t>
    </r>
  </si>
  <si>
    <r>
      <rPr>
        <b/>
        <sz val="9"/>
        <color rgb="FFC00000"/>
        <rFont val="Arial"/>
        <family val="2"/>
      </rPr>
      <t>***</t>
    </r>
    <r>
      <rPr>
        <sz val="9"/>
        <color rgb="FFC00000"/>
        <rFont val="Arial"/>
        <family val="2"/>
      </rPr>
      <t xml:space="preserve">) aus Vortrag im Physikal. Verein (Abw. beträgt </t>
    </r>
  </si>
  <si>
    <t>hätten die 3 beobachtbaren Wechselwirkungen alle die gleiche Stärke und könnten sich als verschiedene</t>
  </si>
  <si>
    <r>
      <t xml:space="preserve">Teilchen ist wie ein Punkt </t>
    </r>
    <r>
      <rPr>
        <sz val="12"/>
        <color rgb="FF002060"/>
        <rFont val="Arial"/>
        <family val="2"/>
      </rPr>
      <t>• und</t>
    </r>
    <r>
      <rPr>
        <sz val="12"/>
        <rFont val="Arial"/>
        <family val="2"/>
      </rPr>
      <t xml:space="preserve"> </t>
    </r>
    <r>
      <rPr>
        <sz val="11"/>
        <color theme="1"/>
        <rFont val="Arial"/>
        <family val="2"/>
      </rPr>
      <t>sieht aus allen Richtungen gleich aus.</t>
    </r>
  </si>
  <si>
    <t xml:space="preserve">1. Quantenbedingung: </t>
  </si>
  <si>
    <t>2. Frequenzbedingung:</t>
  </si>
  <si>
    <t>1. Quantenbedingung</t>
  </si>
  <si>
    <r>
      <t xml:space="preserve">2. Frequenzbedingung </t>
    </r>
    <r>
      <rPr>
        <b/>
        <sz val="10"/>
        <color rgb="FF002060"/>
        <rFont val="Calibri"/>
        <family val="2"/>
      </rPr>
      <t>→</t>
    </r>
    <r>
      <rPr>
        <b/>
        <sz val="10"/>
        <color rgb="FF002060"/>
        <rFont val="Arial"/>
        <family val="2"/>
      </rPr>
      <t xml:space="preserve"> "Quantensprung"</t>
    </r>
  </si>
  <si>
    <t>3. Elektronen kreisen strahlungsfrei</t>
  </si>
  <si>
    <t>Nach 1. Quantenbeding. gilt:</t>
  </si>
  <si>
    <t>Aus 3. Postulat folgt:</t>
  </si>
  <si>
    <r>
      <t xml:space="preserve">Es gibt 6 Arten von Quarks, sog. Flavours, die in den Farben </t>
    </r>
    <r>
      <rPr>
        <b/>
        <sz val="11"/>
        <color theme="9" tint="-0.499984740745262"/>
        <rFont val="Arial"/>
        <family val="2"/>
      </rPr>
      <t>rot</t>
    </r>
    <r>
      <rPr>
        <sz val="11"/>
        <color rgb="FF002060"/>
        <rFont val="Arial"/>
        <family val="2"/>
      </rPr>
      <t xml:space="preserve">, </t>
    </r>
    <r>
      <rPr>
        <b/>
        <sz val="11"/>
        <color rgb="FF00B050"/>
        <rFont val="Arial"/>
        <family val="2"/>
      </rPr>
      <t>grün</t>
    </r>
    <r>
      <rPr>
        <sz val="11"/>
        <color rgb="FF002060"/>
        <rFont val="Arial"/>
        <family val="2"/>
      </rPr>
      <t xml:space="preserve"> u. </t>
    </r>
    <r>
      <rPr>
        <b/>
        <sz val="11"/>
        <color rgb="FF0070C0"/>
        <rFont val="Arial"/>
        <family val="2"/>
      </rPr>
      <t>blau</t>
    </r>
    <r>
      <rPr>
        <sz val="11"/>
        <color rgb="FF002060"/>
        <rFont val="Arial"/>
        <family val="2"/>
      </rPr>
      <t xml:space="preserve"> vor-</t>
    </r>
  </si>
  <si>
    <r>
      <t>Mond: m = 7,349∙10</t>
    </r>
    <r>
      <rPr>
        <vertAlign val="superscript"/>
        <sz val="10"/>
        <color rgb="FF002060"/>
        <rFont val="Arial"/>
        <family val="2"/>
      </rPr>
      <t>22</t>
    </r>
    <r>
      <rPr>
        <sz val="10"/>
        <color rgb="FF002060"/>
        <rFont val="Arial"/>
        <family val="2"/>
      </rPr>
      <t xml:space="preserve"> kg, r = 1737 km: Die Gravi-</t>
    </r>
  </si>
  <si>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Die schweren </t>
    </r>
    <r>
      <rPr>
        <b/>
        <sz val="11"/>
        <color theme="1"/>
        <rFont val="Arial"/>
        <family val="2"/>
      </rPr>
      <t>Hadronen</t>
    </r>
    <r>
      <rPr>
        <sz val="11"/>
        <color theme="1"/>
        <rFont val="Arial"/>
        <family val="2"/>
      </rPr>
      <t xml:space="preserve"> (griech. Hadron = "stark"): </t>
    </r>
  </si>
  <si>
    <t xml:space="preserve">Aufgrund dieser Eigenschaften verhält sich jedes Teilchen auf seine Art und </t>
  </si>
  <si>
    <r>
      <t>Weise. Licht (Photon) ist "</t>
    </r>
    <r>
      <rPr>
        <b/>
        <sz val="11"/>
        <color rgb="FF002060"/>
        <rFont val="Arial"/>
        <family val="2"/>
      </rPr>
      <t>nur</t>
    </r>
    <r>
      <rPr>
        <sz val="11"/>
        <color rgb="FF002060"/>
        <rFont val="Arial"/>
        <family val="2"/>
      </rPr>
      <t xml:space="preserve">" Energie und gehört zur Gruppe der Bosonen. </t>
    </r>
  </si>
  <si>
    <t>ist eine seiner drei Eigenschaften und gibt an, wie es aus verschiedennen Blickwinkeln betrachtet "aussieht":</t>
  </si>
  <si>
    <t>aus. Erst nach einer kompletten Drehung (360 Grad) sieht es wieder gleich aus.</t>
  </si>
  <si>
    <t>drehung (180 Grad) wieder gleich aus.</t>
  </si>
  <si>
    <r>
      <t xml:space="preserve">über große Distanzen. Die Teilchen, die zwischen den Materieteilchen ausgetauscht werden sind </t>
    </r>
    <r>
      <rPr>
        <b/>
        <sz val="11"/>
        <color theme="1"/>
        <rFont val="Arial"/>
        <family val="2"/>
      </rPr>
      <t>virtuell</t>
    </r>
    <r>
      <rPr>
        <sz val="11"/>
        <color theme="1"/>
        <rFont val="Arial"/>
        <family val="2"/>
      </rPr>
      <t xml:space="preserve">, weil sie im Gegensatz zu </t>
    </r>
    <r>
      <rPr>
        <b/>
        <sz val="11"/>
        <color theme="1"/>
        <rFont val="Arial"/>
        <family val="2"/>
      </rPr>
      <t>wirklichen</t>
    </r>
    <r>
      <rPr>
        <sz val="11"/>
        <color theme="1"/>
        <rFont val="Arial"/>
        <family val="2"/>
      </rPr>
      <t xml:space="preserve"> Teilchen nicht </t>
    </r>
  </si>
  <si>
    <t>Faktor für Erdbescheunigung:</t>
  </si>
  <si>
    <r>
      <t>x</t>
    </r>
    <r>
      <rPr>
        <sz val="11"/>
        <color theme="1"/>
        <rFont val="Arial"/>
        <family val="2"/>
      </rPr>
      <t xml:space="preserve"> =</t>
    </r>
  </si>
  <si>
    <r>
      <t xml:space="preserve">Beschleunigung Raumschiff (x 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 xml:space="preserve"> g):</t>
    </r>
  </si>
  <si>
    <t xml:space="preserve">wird, z. B. mit Erdbeschleunigung von a = g = 9,81 m/s². In diesem Fall ist die Schwerkraft für die Astronauten genau so wie auf der Erde. Im Punkt R dreht die </t>
  </si>
  <si>
    <t>1. Der Stern Proxima Centauri ist 4,24 Lj von der von der Erde entfernt (nächst gelegener Stern).</t>
  </si>
  <si>
    <t>2. Das Zentrum unserer Milchstaße ist etwa 26000 Lj von der Erde entfernt.</t>
  </si>
  <si>
    <r>
      <t xml:space="preserve">der Geschwindigkeit auch die </t>
    </r>
    <r>
      <rPr>
        <b/>
        <sz val="11"/>
        <color rgb="FFC00000"/>
        <rFont val="Arial"/>
        <family val="2"/>
      </rPr>
      <t>träge</t>
    </r>
    <r>
      <rPr>
        <sz val="11"/>
        <color rgb="FFC00000"/>
        <rFont val="Arial"/>
        <family val="2"/>
      </rPr>
      <t xml:space="preserve"> Masse zunimmt (s. Excel-Tab. Sammelsurium S. 6 "Beziehung</t>
    </r>
  </si>
  <si>
    <t>Massezunahme dann ungeheure Treibstoffmengen zum Antrieb einer Rakete benötigt würden.</t>
  </si>
  <si>
    <t xml:space="preserve">Geschwindigkeit zu Masse, …") und mit Annäherung an die Lichtgeschwindigkeit durch die extreme </t>
  </si>
  <si>
    <t>Faktor für Erdbescheunigung* :</t>
  </si>
  <si>
    <r>
      <t xml:space="preserve">Weg der gleichförmigen Geschwindigkeit (Sicht </t>
    </r>
    <r>
      <rPr>
        <b/>
        <sz val="11"/>
        <color theme="1"/>
        <rFont val="Arial"/>
        <family val="2"/>
      </rPr>
      <t>Rakete</t>
    </r>
    <r>
      <rPr>
        <sz val="11"/>
        <color theme="1"/>
        <rFont val="Arial"/>
        <family val="2"/>
      </rPr>
      <t>):</t>
    </r>
  </si>
  <si>
    <t xml:space="preserve">Rakete um 180 ° und bremst dann mit gleichgroßer aber negativer Beschleunigung (Verzögerung) auf v = 0 m/s ab, so dass sie am Ende der zweiten Hälfte der  </t>
  </si>
  <si>
    <r>
      <t xml:space="preserve">Gesamtstrecke das Ziel erreicht. Auf diese Weise kann man im Zeitrahmen eines menschlichen Lebensalters </t>
    </r>
    <r>
      <rPr>
        <b/>
        <sz val="11"/>
        <color rgb="FF002060"/>
        <rFont val="Arial"/>
        <family val="2"/>
      </rPr>
      <t>theoretisch</t>
    </r>
    <r>
      <rPr>
        <sz val="11"/>
        <color rgb="FF002060"/>
        <rFont val="Arial"/>
        <family val="2"/>
      </rPr>
      <t xml:space="preserve"> weit ins Universum reisen!</t>
    </r>
  </si>
  <si>
    <t xml:space="preserve">Interessant zu beobachten ist der "Wettkampf Einstein gegen Newton" auch bei geringeren Distanzen </t>
  </si>
  <si>
    <t xml:space="preserve">(d = 1; 0,1; 0,01; 0,001; … Lichtjahre), wenn sich die Ergebnisse immer weiter annähern und schließ- </t>
  </si>
  <si>
    <t>lich kein Unterschied mehr auzumachen ist (exakt erst bei d = 0).</t>
  </si>
  <si>
    <t>Radius des zu prüfenden Objekts:</t>
  </si>
  <si>
    <t>gegen Ende klassisch angleichen.</t>
  </si>
  <si>
    <t>aus der Differenz zwischen</t>
  </si>
  <si>
    <t>der Kugel wird berechnet</t>
  </si>
  <si>
    <t>Die Erdbewohner sehen das bewegte Raumschiff in gleichen Maße gestaucht.</t>
  </si>
  <si>
    <r>
      <t xml:space="preserve">Wie bereits o. a. entscheidet </t>
    </r>
    <r>
      <rPr>
        <b/>
        <sz val="11"/>
        <color rgb="FF002060"/>
        <rFont val="Arial"/>
        <family val="2"/>
      </rPr>
      <t>einzig der Spin</t>
    </r>
    <r>
      <rPr>
        <sz val="11"/>
        <color theme="1"/>
        <rFont val="Arial"/>
        <family val="2"/>
      </rPr>
      <t xml:space="preserve">, ob ein Elementarteilchen </t>
    </r>
    <r>
      <rPr>
        <b/>
        <sz val="11"/>
        <color rgb="FF002060"/>
        <rFont val="Arial"/>
        <family val="2"/>
      </rPr>
      <t>Materieteilchen (Fermion)</t>
    </r>
    <r>
      <rPr>
        <sz val="11"/>
        <color theme="1"/>
        <rFont val="Arial"/>
        <family val="2"/>
      </rPr>
      <t xml:space="preserve"> oder </t>
    </r>
    <r>
      <rPr>
        <b/>
        <sz val="11"/>
        <color rgb="FF002060"/>
        <rFont val="Arial"/>
        <family val="2"/>
      </rPr>
      <t>Kräfteteilchen</t>
    </r>
    <r>
      <rPr>
        <sz val="11"/>
        <color theme="1"/>
        <rFont val="Arial"/>
        <family val="2"/>
      </rPr>
      <t xml:space="preserve"> (</t>
    </r>
    <r>
      <rPr>
        <b/>
        <sz val="11"/>
        <color rgb="FF002060"/>
        <rFont val="Arial"/>
        <family val="2"/>
      </rPr>
      <t>Boson)</t>
    </r>
    <r>
      <rPr>
        <sz val="11"/>
        <color theme="1"/>
        <rFont val="Arial"/>
        <family val="2"/>
      </rPr>
      <t xml:space="preserve"> ist. Der Spin eines Teilchens</t>
    </r>
  </si>
  <si>
    <t>ergibt die beste Hohlraumstrahlung die man überhaupt messen kann.Ein genau-</t>
  </si>
  <si>
    <t>eres Hohlraum-Strahlungsprektrum lässt sich im Labor nicht erzeugen.</t>
  </si>
  <si>
    <t xml:space="preserve">                                                              der n-ten Bahn errechnet sich zu:             </t>
  </si>
  <si>
    <r>
      <t xml:space="preserve">          </t>
    </r>
    <r>
      <rPr>
        <u/>
        <sz val="10"/>
        <color theme="9" tint="-0.499984740745262"/>
        <rFont val="Arial"/>
        <family val="2"/>
      </rPr>
      <t>Grafik: uni-ulm.de</t>
    </r>
  </si>
  <si>
    <t>Wellenlänge der Lichtquelle (Taschenlampe, ...):</t>
  </si>
  <si>
    <t>Frequenz der Lichtquelle (Taschenlampe, ...):</t>
  </si>
  <si>
    <r>
      <rPr>
        <sz val="12"/>
        <color theme="1"/>
        <rFont val="Calibri"/>
        <family val="2"/>
      </rPr>
      <t>Δ</t>
    </r>
    <r>
      <rPr>
        <sz val="11"/>
        <color theme="1"/>
        <rFont val="Arial"/>
        <family val="2"/>
      </rPr>
      <t>T</t>
    </r>
    <r>
      <rPr>
        <sz val="12"/>
        <color theme="1"/>
        <rFont val="Arial"/>
        <family val="2"/>
      </rPr>
      <t xml:space="preserve">∞ =  </t>
    </r>
  </si>
  <si>
    <t>L∞ =</t>
  </si>
  <si>
    <t>Licht Prüflampe</t>
  </si>
  <si>
    <t>Reisedauer aus Sicht der Raketen-Crew:</t>
  </si>
  <si>
    <t>Reisedauer aus Sicht der Erd-Bewohner:</t>
  </si>
  <si>
    <t>Reiseweg aus Sicht der Erd-Bewohner:</t>
  </si>
  <si>
    <t>Reiseweg aus Sicht der Raketen-Crew:</t>
  </si>
  <si>
    <r>
      <t xml:space="preserve">Faktor </t>
    </r>
    <r>
      <rPr>
        <b/>
        <sz val="11"/>
        <color theme="1"/>
        <rFont val="Arial"/>
        <family val="2"/>
      </rPr>
      <t>γ</t>
    </r>
    <r>
      <rPr>
        <sz val="11"/>
        <color theme="1"/>
        <rFont val="Arial"/>
        <family val="2"/>
      </rPr>
      <t xml:space="preserve"> der Zeitdilation an R:</t>
    </r>
  </si>
  <si>
    <t>Um den Faktor vergeht d. Zeit in d. Rakete bei R langsamer</t>
  </si>
  <si>
    <r>
      <t xml:space="preserve">Faktor </t>
    </r>
    <r>
      <rPr>
        <b/>
        <sz val="11"/>
        <color theme="1"/>
        <rFont val="Arial"/>
        <family val="2"/>
      </rPr>
      <t>γ</t>
    </r>
    <r>
      <rPr>
        <sz val="11"/>
        <color theme="1"/>
        <rFont val="Arial"/>
        <family val="2"/>
      </rPr>
      <t xml:space="preserve"> der Längenkontraktion an R:</t>
    </r>
  </si>
  <si>
    <t xml:space="preserve">Die Distanz Erde-Stern, siehe Skizze, wird mit einer Rakete in der Weise bewältigt, dass in der ersten Hälfte der Gesamtstrecke, bis zum Punkt R, beschleunigt   </t>
  </si>
  <si>
    <r>
      <t>Ein sich zeitlich veränderndes</t>
    </r>
    <r>
      <rPr>
        <b/>
        <sz val="10"/>
        <rFont val="Arial"/>
        <family val="2"/>
      </rPr>
      <t xml:space="preserve"> </t>
    </r>
    <r>
      <rPr>
        <sz val="10"/>
        <color rgb="FF0070C0"/>
        <rFont val="Arial"/>
        <family val="2"/>
      </rPr>
      <t>Elektro</t>
    </r>
    <r>
      <rPr>
        <sz val="10"/>
        <color rgb="FFC00000"/>
        <rFont val="Arial"/>
        <family val="2"/>
      </rPr>
      <t>magnetisches</t>
    </r>
    <r>
      <rPr>
        <sz val="10"/>
        <rFont val="Arial"/>
        <family val="2"/>
      </rPr>
      <t xml:space="preserve"> Feld</t>
    </r>
    <r>
      <rPr>
        <b/>
        <sz val="10"/>
        <color rgb="FF0070C0"/>
        <rFont val="Arial"/>
        <family val="2"/>
      </rPr>
      <t xml:space="preserve"> E(t) </t>
    </r>
    <r>
      <rPr>
        <sz val="10"/>
        <rFont val="Arial"/>
        <family val="2"/>
      </rPr>
      <t>|</t>
    </r>
    <r>
      <rPr>
        <sz val="10"/>
        <color rgb="FF0070C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B(t)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breitet sich im Raum als </t>
    </r>
  </si>
  <si>
    <t xml:space="preserve">Die Schrödingergleichung ist eine dreidimensionale, zeitabhängige </t>
  </si>
  <si>
    <t xml:space="preserve">Zeit-  </t>
  </si>
  <si>
    <t xml:space="preserve">unabhänig: </t>
  </si>
  <si>
    <t xml:space="preserve">abhängig: </t>
  </si>
  <si>
    <t xml:space="preserve">Differentialgleichung, deren Lösung die </t>
  </si>
  <si>
    <r>
      <t xml:space="preserve">      Aufenthaltwahrscheinlichkeit des Elektrons im Volumen </t>
    </r>
    <r>
      <rPr>
        <b/>
        <sz val="11"/>
        <color rgb="FF002060"/>
        <rFont val="Calibri"/>
        <family val="2"/>
      </rPr>
      <t>Δ</t>
    </r>
    <r>
      <rPr>
        <b/>
        <sz val="11"/>
        <color rgb="FF002060"/>
        <rFont val="Arial"/>
        <family val="2"/>
      </rPr>
      <t xml:space="preserve">V   </t>
    </r>
  </si>
  <si>
    <t>angibt oder allgemein eines Quantenobjekts im 3D-Raum.</t>
  </si>
  <si>
    <t>Expansions-Geschwindigkeit des Raumes:</t>
  </si>
  <si>
    <t>https://www.youtube.com/watch?v=svn3fg5zbxA</t>
  </si>
  <si>
    <r>
      <rPr>
        <sz val="10"/>
        <color theme="9" tint="-0.499984740745262"/>
        <rFont val="Arial"/>
        <family val="2"/>
      </rPr>
      <t xml:space="preserve">                                                                      </t>
    </r>
    <r>
      <rPr>
        <u/>
        <sz val="10"/>
        <color theme="9" tint="-0.499984740745262"/>
        <rFont val="Arial"/>
        <family val="2"/>
      </rPr>
      <t>Grafik:  physik.uni-graz.at</t>
    </r>
  </si>
  <si>
    <t>Dualismus Materie: Teilchen/Korpuskel - Welle</t>
  </si>
  <si>
    <t>Man kann ein Zeitintervall nicht genauer messen / festlegen. t = 0 gibt es nicht!</t>
  </si>
  <si>
    <r>
      <t>Plancksches Wirkungsquantum</t>
    </r>
    <r>
      <rPr>
        <sz val="9"/>
        <color rgb="FF7030A0"/>
        <rFont val="Arial"/>
        <family val="2"/>
      </rPr>
      <t>, simple physics, 5 min</t>
    </r>
  </si>
  <si>
    <t>ISS und Satelitten sind pausenlos im freien Fall!</t>
  </si>
  <si>
    <t>Diese Masse entspricht der Größe eines Staubkorns!</t>
  </si>
  <si>
    <r>
      <t>Beispiel</t>
    </r>
    <r>
      <rPr>
        <sz val="10"/>
        <color rgb="FF002060"/>
        <rFont val="Arial"/>
        <family val="2"/>
      </rPr>
      <t xml:space="preserve"> aus der Utopie:</t>
    </r>
  </si>
  <si>
    <r>
      <t xml:space="preserve">Geschwindigkeit der Rakete </t>
    </r>
    <r>
      <rPr>
        <b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aus Sicht der Erde:</t>
    </r>
  </si>
  <si>
    <r>
      <t xml:space="preserve">Beschleunigung der Rakete bei </t>
    </r>
    <r>
      <rPr>
        <b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aus Sicht der Erde:</t>
    </r>
  </si>
  <si>
    <t>Um den Faktor ist die Länge der Rakete bei R verkürzt</t>
  </si>
  <si>
    <r>
      <t xml:space="preserve">Ein Zug ist mit u = 100.000 km/s unterwegs. Im Zug geht die Person </t>
    </r>
    <r>
      <rPr>
        <b/>
        <sz val="10"/>
        <color rgb="FF002060"/>
        <rFont val="Arial"/>
        <family val="2"/>
      </rPr>
      <t>A</t>
    </r>
    <r>
      <rPr>
        <sz val="10"/>
        <color rgb="FF002060"/>
        <rFont val="Arial"/>
        <family val="2"/>
      </rPr>
      <t xml:space="preserve"> in (</t>
    </r>
    <r>
      <rPr>
        <b/>
        <sz val="10"/>
        <color rgb="FF002060"/>
        <rFont val="Arial"/>
        <family val="2"/>
      </rPr>
      <t>+</t>
    </r>
    <r>
      <rPr>
        <sz val="10"/>
        <color rgb="FF002060"/>
        <rFont val="Arial"/>
        <family val="2"/>
      </rPr>
      <t>) oder gegen (</t>
    </r>
    <r>
      <rPr>
        <b/>
        <sz val="10"/>
        <color rgb="FF002060"/>
        <rFont val="Arial"/>
        <family val="2"/>
      </rPr>
      <t>-</t>
    </r>
    <r>
      <rPr>
        <sz val="10"/>
        <color rgb="FF002060"/>
        <rFont val="Arial"/>
        <family val="2"/>
      </rPr>
      <t xml:space="preserve">) </t>
    </r>
  </si>
  <si>
    <r>
      <t>vergangen ist, während seine Uhr die Zeitspanne von</t>
    </r>
    <r>
      <rPr>
        <b/>
        <sz val="10"/>
        <color rgb="FF002060"/>
        <rFont val="Arial"/>
        <family val="2"/>
      </rPr>
      <t xml:space="preserve"> t = 20 s</t>
    </r>
    <r>
      <rPr>
        <sz val="10"/>
        <color rgb="FF002060"/>
        <rFont val="Arial"/>
        <family val="2"/>
      </rPr>
      <t xml:space="preserve"> anzeigt. Somit geht seine Uhr </t>
    </r>
  </si>
  <si>
    <r>
      <t xml:space="preserve">geht die Uhr der Person am Bahndamm um den Lorents-Faktor </t>
    </r>
    <r>
      <rPr>
        <b/>
        <sz val="10"/>
        <color rgb="FF002060"/>
        <rFont val="Arial"/>
        <family val="2"/>
      </rPr>
      <t>γ = 2</t>
    </r>
    <r>
      <rPr>
        <sz val="10"/>
        <color rgb="FF002060"/>
        <rFont val="Arial"/>
        <family val="2"/>
      </rPr>
      <t xml:space="preserve"> langsamer, also nach </t>
    </r>
  </si>
  <si>
    <r>
      <t>Periodensystem der Elemente</t>
    </r>
    <r>
      <rPr>
        <sz val="9"/>
        <color rgb="FF7030A0"/>
        <rFont val="Arial"/>
        <family val="2"/>
      </rPr>
      <t xml:space="preserve">  6 min. Simple physics</t>
    </r>
  </si>
  <si>
    <r>
      <t>kg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m²</t>
    </r>
    <r>
      <rPr>
        <b/>
        <sz val="11"/>
        <color theme="1"/>
        <rFont val="Arial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 xml:space="preserve">-1 </t>
    </r>
    <r>
      <rPr>
        <sz val="11"/>
        <color theme="1"/>
        <rFont val="Arial"/>
        <family val="2"/>
      </rPr>
      <t>bzw. J</t>
    </r>
    <r>
      <rPr>
        <b/>
        <sz val="11"/>
        <color theme="1"/>
        <rFont val="Arial"/>
        <family val="2"/>
      </rPr>
      <t>·</t>
    </r>
    <r>
      <rPr>
        <sz val="11"/>
        <color theme="1"/>
        <rFont val="Arial"/>
        <family val="2"/>
      </rPr>
      <t>s</t>
    </r>
  </si>
  <si>
    <r>
      <rPr>
        <b/>
        <u/>
        <sz val="9"/>
        <color rgb="FF7030A0"/>
        <rFont val="Arial"/>
        <family val="2"/>
      </rPr>
      <t>Quantenmechanik</t>
    </r>
    <r>
      <rPr>
        <sz val="9"/>
        <color rgb="FF7030A0"/>
        <rFont val="Arial"/>
        <family val="2"/>
      </rPr>
      <t xml:space="preserve"> Prof. Lesch, 60 min      </t>
    </r>
    <r>
      <rPr>
        <b/>
        <sz val="9"/>
        <color rgb="FF7030A0"/>
        <rFont val="Arial"/>
        <family val="2"/>
      </rPr>
      <t xml:space="preserve"> </t>
    </r>
    <r>
      <rPr>
        <u/>
        <sz val="9"/>
        <color rgb="FF7030A0"/>
        <rFont val="Arial"/>
        <family val="2"/>
      </rPr>
      <t>https://www.youtube.com/watch?v=FwNV_e-Xz68</t>
    </r>
  </si>
  <si>
    <r>
      <rPr>
        <b/>
        <u/>
        <sz val="9"/>
        <color rgb="FF7030A0"/>
        <rFont val="Arial"/>
        <family val="2"/>
      </rPr>
      <t>Verschränkung, Nichtlokalität</t>
    </r>
    <r>
      <rPr>
        <sz val="9"/>
        <color rgb="FF7030A0"/>
        <rFont val="Arial"/>
        <family val="2"/>
      </rPr>
      <t xml:space="preserve">,  30 min      </t>
    </r>
    <r>
      <rPr>
        <u/>
        <sz val="9"/>
        <color rgb="FF7030A0"/>
        <rFont val="Arial"/>
        <family val="2"/>
      </rPr>
      <t>https://www.youtube.com/watch?v=7BV0Fs4eM0I</t>
    </r>
  </si>
  <si>
    <r>
      <rPr>
        <b/>
        <u/>
        <sz val="9"/>
        <color rgb="FF7030A0"/>
        <rFont val="Arial"/>
        <family val="2"/>
      </rPr>
      <t>Doppelspaltexperimen</t>
    </r>
    <r>
      <rPr>
        <b/>
        <sz val="9"/>
        <color rgb="FF7030A0"/>
        <rFont val="Arial"/>
        <family val="2"/>
      </rPr>
      <t xml:space="preserve">t, </t>
    </r>
    <r>
      <rPr>
        <sz val="9"/>
        <color rgb="FF7030A0"/>
        <rFont val="Arial"/>
        <family val="2"/>
      </rPr>
      <t xml:space="preserve">   5 min     </t>
    </r>
    <r>
      <rPr>
        <u/>
        <sz val="9"/>
        <color rgb="FF7030A0"/>
        <rFont val="Arial"/>
        <family val="2"/>
      </rPr>
      <t>https://www.youtube.com/watch?v=3ohjOltaO6Y</t>
    </r>
  </si>
  <si>
    <r>
      <rPr>
        <b/>
        <u/>
        <sz val="9"/>
        <color rgb="FF7030A0"/>
        <rFont val="Arial"/>
        <family val="2"/>
      </rPr>
      <t>De Broglie-Wellenlänge</t>
    </r>
    <r>
      <rPr>
        <sz val="9"/>
        <color rgb="FF7030A0"/>
        <rFont val="Arial"/>
        <family val="2"/>
      </rPr>
      <t>,   4 min</t>
    </r>
    <r>
      <rPr>
        <b/>
        <sz val="9"/>
        <color rgb="FF7030A0"/>
        <rFont val="Arial"/>
        <family val="2"/>
      </rPr>
      <t xml:space="preserve">     </t>
    </r>
    <r>
      <rPr>
        <u/>
        <sz val="9"/>
        <color rgb="FF7030A0"/>
        <rFont val="Arial"/>
        <family val="2"/>
      </rPr>
      <t>https://www.youtube.com/watch?v=JNYzSY-fjCE</t>
    </r>
  </si>
  <si>
    <t>Dann kann nach Einstein keine Information / Wirkung mehr nach außen gelangen.</t>
  </si>
  <si>
    <r>
      <t xml:space="preserve">  Das ist die </t>
    </r>
    <r>
      <rPr>
        <b/>
        <sz val="10"/>
        <color rgb="FF002060"/>
        <rFont val="Arial"/>
        <family val="2"/>
      </rPr>
      <t>Plancklänge:</t>
    </r>
  </si>
  <si>
    <r>
      <rPr>
        <sz val="10"/>
        <color theme="1"/>
        <rFont val="Arial"/>
        <family val="2"/>
      </rPr>
      <t xml:space="preserve">  Das ist die </t>
    </r>
    <r>
      <rPr>
        <b/>
        <sz val="10"/>
        <color rgb="FF002060"/>
        <rFont val="Arial"/>
        <family val="2"/>
      </rPr>
      <t>Planckzeit:</t>
    </r>
  </si>
  <si>
    <r>
      <t>Gewicht oder die Fluchtgeschwindigkeit usw.. Wenn man den Wert für R</t>
    </r>
    <r>
      <rPr>
        <b/>
        <vertAlign val="subscript"/>
        <sz val="11"/>
        <color rgb="FF002060"/>
        <rFont val="Arial"/>
        <family val="2"/>
      </rPr>
      <t>V</t>
    </r>
    <r>
      <rPr>
        <sz val="11"/>
        <color rgb="FF002060"/>
        <rFont val="Arial"/>
        <family val="2"/>
      </rPr>
      <t xml:space="preserve"> schrittweise verringert, bis nah an das Schwarze Loch, RV = 0,000009 km, </t>
    </r>
  </si>
  <si>
    <t>Siehe auch Excel-Tabelle "TÜV".</t>
  </si>
  <si>
    <r>
      <t xml:space="preserve">Gibt man Daten für die Erde ein, </t>
    </r>
    <r>
      <rPr>
        <b/>
        <sz val="11"/>
        <color rgb="FF002060"/>
        <rFont val="Arial"/>
        <family val="2"/>
      </rPr>
      <t>M = 5,972 · 10</t>
    </r>
    <r>
      <rPr>
        <b/>
        <vertAlign val="superscript"/>
        <sz val="11"/>
        <color rgb="FF002060"/>
        <rFont val="Arial"/>
        <family val="2"/>
      </rPr>
      <t>24</t>
    </r>
    <r>
      <rPr>
        <b/>
        <sz val="11"/>
        <color rgb="FF002060"/>
        <rFont val="Arial"/>
        <family val="2"/>
      </rPr>
      <t xml:space="preserve"> kg und  R</t>
    </r>
    <r>
      <rPr>
        <b/>
        <vertAlign val="subscript"/>
        <sz val="11"/>
        <color rgb="FF002060"/>
        <rFont val="Arial"/>
        <family val="2"/>
      </rPr>
      <t>U</t>
    </r>
    <r>
      <rPr>
        <b/>
        <sz val="11"/>
        <color rgb="FF002060"/>
        <rFont val="Arial"/>
        <family val="2"/>
      </rPr>
      <t xml:space="preserve"> = 6373 km,</t>
    </r>
    <r>
      <rPr>
        <sz val="11"/>
        <color rgb="FF002060"/>
        <rFont val="Arial"/>
        <family val="2"/>
      </rPr>
      <t xml:space="preserve"> dann erhält man Resultate, wie wir sie kennen und gewohnt sind, wie unser </t>
    </r>
  </si>
  <si>
    <t>Fluchtgeschwindigkeit im Gravitationsfeld</t>
  </si>
  <si>
    <t>Orbitalgeschwindigkeit im Gravitationsfeld</t>
  </si>
  <si>
    <r>
      <t>Orbitalgeschwindigkeit am Radius R</t>
    </r>
    <r>
      <rPr>
        <vertAlign val="subscript"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>:</t>
    </r>
  </si>
  <si>
    <r>
      <t>Orbitalgeschwindigkeit in % bezogen auf den Ursprungs-Radius R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>:</t>
    </r>
  </si>
  <si>
    <r>
      <t>Zeit (</t>
    </r>
    <r>
      <rPr>
        <sz val="10"/>
        <color theme="9" tint="-0.499984740745262"/>
        <rFont val="Arial"/>
        <family val="2"/>
      </rPr>
      <t>rote Kurve</t>
    </r>
    <r>
      <rPr>
        <sz val="10"/>
        <color rgb="FF002060"/>
        <rFont val="Arial"/>
        <family val="2"/>
      </rPr>
      <t xml:space="preserve">). Die Geschwindigkeit der Kugel </t>
    </r>
  </si>
  <si>
    <r>
      <t>variierte linear (</t>
    </r>
    <r>
      <rPr>
        <sz val="10"/>
        <color rgb="FF00B050"/>
        <rFont val="Arial"/>
        <family val="2"/>
      </rPr>
      <t>grüne Gerade</t>
    </r>
    <r>
      <rPr>
        <sz val="10"/>
        <color rgb="FF002060"/>
        <rFont val="Arial"/>
        <family val="2"/>
      </rPr>
      <t>) und die Beschleu-</t>
    </r>
  </si>
  <si>
    <r>
      <t>nigung änderte sich gar nicht (</t>
    </r>
    <r>
      <rPr>
        <sz val="10"/>
        <color rgb="FF0070C0"/>
        <rFont val="Arial"/>
        <family val="2"/>
      </rPr>
      <t>blaue Horizontale</t>
    </r>
    <r>
      <rPr>
        <sz val="10"/>
        <color rgb="FF002060"/>
        <rFont val="Arial"/>
        <family val="2"/>
      </rPr>
      <t>).</t>
    </r>
  </si>
  <si>
    <t xml:space="preserve">hang. Hieraus entwickelte Newton um 1666 seine </t>
  </si>
  <si>
    <t>Bewegungsgesetze.</t>
  </si>
  <si>
    <t xml:space="preserve"> So lässt sich bei vorgegebener Beschleunigung a</t>
  </si>
  <si>
    <t xml:space="preserve">a = </t>
  </si>
  <si>
    <t>Beispiele für den Freien Fall:</t>
  </si>
  <si>
    <t xml:space="preserve">Die Kepplerschen Gesetze beschreiben die Bewegung der Planeten, sagen aber nichts aus über die Kräfte, die diese Bewegungen verursachen. Die "Ursache" </t>
  </si>
  <si>
    <r>
      <t>erkannte Newton. Der Legende</t>
    </r>
    <r>
      <rPr>
        <b/>
        <sz val="11"/>
        <color rgb="FFC00000"/>
        <rFont val="Arial"/>
        <family val="2"/>
      </rPr>
      <t>*</t>
    </r>
    <r>
      <rPr>
        <sz val="11"/>
        <rFont val="Arial"/>
        <family val="2"/>
      </rPr>
      <t xml:space="preserve"> nach kam er auf den Gedanken 1666 als er sah, wie in seinem Garten ein Apfel vom Baum fiel. Die Erde zieht den Apfel an und </t>
    </r>
  </si>
  <si>
    <t xml:space="preserve">so muss die Materie wohl eine Anziehungsfähigkeit besitzen, die zum Erdmittelpunkt hin gerichtet ist, da alle Gegenstände lotrecht zur Erde fallen. Die Wirkung </t>
  </si>
  <si>
    <t xml:space="preserve">der Anziehung wird offenkundig auch an den vom Erdmittelpunkt entferntesten Orten, wie den Dächern hoher Häuser oder den Gipfeln der höchsten Berge nicht </t>
  </si>
  <si>
    <t xml:space="preserve">(merklich) schwächer. Und so folgerte Newton, dass diese Anziehungskraft auch weit über die Erde hinaus auf den Mond wirken müsste und ihn auf seiner Bahn </t>
  </si>
  <si>
    <t>Berechnung der Kreisfrequenz ω (R = 1):</t>
  </si>
  <si>
    <t>Die Kreisfrequenz ω lässt sich auch über Periodendauer T ausdrücken.</t>
  </si>
  <si>
    <t>C bzw. A ∙ s</t>
  </si>
  <si>
    <r>
      <t>a</t>
    </r>
    <r>
      <rPr>
        <b/>
        <vertAlign val="subscript"/>
        <sz val="11"/>
        <color rgb="FF002060"/>
        <rFont val="Arial"/>
        <family val="2"/>
      </rPr>
      <t>0</t>
    </r>
  </si>
  <si>
    <r>
      <t xml:space="preserve">m </t>
    </r>
    <r>
      <rPr>
        <sz val="11"/>
        <color rgb="FF002060"/>
        <rFont val="Calibri"/>
        <family val="2"/>
      </rPr>
      <t>∙</t>
    </r>
    <r>
      <rPr>
        <sz val="11"/>
        <color rgb="FF002060"/>
        <rFont val="Arial"/>
        <family val="2"/>
      </rPr>
      <t xml:space="preserve"> K</t>
    </r>
  </si>
  <si>
    <r>
      <t>m</t>
    </r>
    <r>
      <rPr>
        <b/>
        <vertAlign val="subscript"/>
        <sz val="11"/>
        <color rgb="FF002060"/>
        <rFont val="Arial"/>
        <family val="2"/>
      </rPr>
      <t>e0</t>
    </r>
  </si>
  <si>
    <r>
      <t>E</t>
    </r>
    <r>
      <rPr>
        <b/>
        <vertAlign val="subscript"/>
        <sz val="11"/>
        <color rgb="FF002060"/>
        <rFont val="Arial"/>
        <family val="2"/>
      </rPr>
      <t>e0</t>
    </r>
  </si>
  <si>
    <r>
      <t>mp</t>
    </r>
    <r>
      <rPr>
        <b/>
        <vertAlign val="subscript"/>
        <sz val="11"/>
        <color rgb="FF002060"/>
        <rFont val="Arial"/>
        <family val="2"/>
      </rPr>
      <t>0</t>
    </r>
  </si>
  <si>
    <r>
      <t>E</t>
    </r>
    <r>
      <rPr>
        <b/>
        <vertAlign val="subscript"/>
        <sz val="11"/>
        <color rgb="FF002060"/>
        <rFont val="Arial"/>
        <family val="2"/>
      </rPr>
      <t>p0</t>
    </r>
  </si>
  <si>
    <r>
      <t>m</t>
    </r>
    <r>
      <rPr>
        <b/>
        <vertAlign val="subscript"/>
        <sz val="11"/>
        <color rgb="FF002060"/>
        <rFont val="Arial"/>
        <family val="2"/>
      </rPr>
      <t>n0</t>
    </r>
  </si>
  <si>
    <r>
      <t>E</t>
    </r>
    <r>
      <rPr>
        <b/>
        <vertAlign val="subscript"/>
        <sz val="11"/>
        <color rgb="FF002060"/>
        <rFont val="Arial"/>
        <family val="2"/>
      </rPr>
      <t>n0</t>
    </r>
  </si>
  <si>
    <r>
      <t xml:space="preserve">J </t>
    </r>
    <r>
      <rPr>
        <b/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>K</t>
    </r>
    <r>
      <rPr>
        <vertAlign val="superscript"/>
        <sz val="11"/>
        <color rgb="FF002060"/>
        <rFont val="Arial"/>
        <family val="2"/>
      </rPr>
      <t>-1</t>
    </r>
  </si>
  <si>
    <r>
      <t xml:space="preserve">J </t>
    </r>
    <r>
      <rPr>
        <b/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>mol</t>
    </r>
    <r>
      <rPr>
        <vertAlign val="superscript"/>
        <sz val="11"/>
        <color rgb="FF002060"/>
        <rFont val="Arial"/>
        <family val="2"/>
      </rPr>
      <t xml:space="preserve">-1 </t>
    </r>
    <r>
      <rPr>
        <b/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>K</t>
    </r>
    <r>
      <rPr>
        <vertAlign val="superscript"/>
        <sz val="11"/>
        <color rgb="FF002060"/>
        <rFont val="Arial"/>
        <family val="2"/>
      </rPr>
      <t>-1</t>
    </r>
  </si>
  <si>
    <r>
      <t xml:space="preserve">J </t>
    </r>
    <r>
      <rPr>
        <b/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 xml:space="preserve">s  bzw.  </t>
    </r>
  </si>
  <si>
    <r>
      <t xml:space="preserve">kg </t>
    </r>
    <r>
      <rPr>
        <b/>
        <sz val="11"/>
        <color rgb="FF002060"/>
        <rFont val="Arial"/>
        <family val="2"/>
      </rPr>
      <t xml:space="preserve">∙ </t>
    </r>
    <r>
      <rPr>
        <sz val="11"/>
        <color rgb="FF002060"/>
        <rFont val="Arial"/>
        <family val="2"/>
      </rPr>
      <t>m</t>
    </r>
    <r>
      <rPr>
        <b/>
        <vertAlign val="superscript"/>
        <sz val="11"/>
        <color rgb="FF002060"/>
        <rFont val="Arial"/>
        <family val="2"/>
      </rPr>
      <t>2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 xml:space="preserve">∙ </t>
    </r>
    <r>
      <rPr>
        <sz val="11"/>
        <color rgb="FF002060"/>
        <rFont val="Arial"/>
        <family val="2"/>
      </rPr>
      <t>s</t>
    </r>
    <r>
      <rPr>
        <b/>
        <vertAlign val="superscript"/>
        <sz val="11"/>
        <color rgb="FF002060"/>
        <rFont val="Arial"/>
        <family val="2"/>
      </rPr>
      <t>-1</t>
    </r>
  </si>
  <si>
    <r>
      <t xml:space="preserve">W </t>
    </r>
    <r>
      <rPr>
        <sz val="11"/>
        <color rgb="FF002060"/>
        <rFont val="Calibri"/>
        <family val="2"/>
      </rPr>
      <t xml:space="preserve">∙ </t>
    </r>
    <r>
      <rPr>
        <sz val="11"/>
        <color rgb="FF002060"/>
        <rFont val="Arial"/>
        <family val="2"/>
      </rPr>
      <t>m</t>
    </r>
    <r>
      <rPr>
        <b/>
        <vertAlign val="superscript"/>
        <sz val="11"/>
        <color rgb="FF002060"/>
        <rFont val="Arial"/>
        <family val="2"/>
      </rPr>
      <t>-2</t>
    </r>
    <r>
      <rPr>
        <vertAlign val="superscript"/>
        <sz val="11"/>
        <color rgb="FF002060"/>
        <rFont val="Arial"/>
        <family val="2"/>
      </rPr>
      <t xml:space="preserve"> </t>
    </r>
    <r>
      <rPr>
        <sz val="11"/>
        <color rgb="FF002060"/>
        <rFont val="Calibri"/>
        <family val="2"/>
      </rPr>
      <t>∙ K</t>
    </r>
    <r>
      <rPr>
        <b/>
        <vertAlign val="superscript"/>
        <sz val="11"/>
        <color rgb="FF002060"/>
        <rFont val="Arial"/>
        <family val="2"/>
      </rPr>
      <t>-4</t>
    </r>
  </si>
  <si>
    <t>Wasserstoff</t>
  </si>
  <si>
    <t>für</t>
  </si>
  <si>
    <t>Rydbergkonstante</t>
  </si>
  <si>
    <t>Planck'sches Wirkungsquantum</t>
  </si>
  <si>
    <r>
      <t>E</t>
    </r>
    <r>
      <rPr>
        <b/>
        <vertAlign val="subscript"/>
        <sz val="10"/>
        <color rgb="FF002060"/>
        <rFont val="Arial"/>
        <family val="2"/>
      </rPr>
      <t xml:space="preserve">e0 </t>
    </r>
    <r>
      <rPr>
        <b/>
        <sz val="10"/>
        <color rgb="FF002060"/>
        <rFont val="Arial"/>
        <family val="2"/>
      </rPr>
      <t>= m</t>
    </r>
    <r>
      <rPr>
        <b/>
        <vertAlign val="subscript"/>
        <sz val="10"/>
        <color rgb="FF002060"/>
        <rFont val="Arial"/>
        <family val="2"/>
      </rPr>
      <t>e0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 xml:space="preserve"> c</t>
    </r>
    <r>
      <rPr>
        <b/>
        <vertAlign val="superscript"/>
        <sz val="10"/>
        <color rgb="FF002060"/>
        <rFont val="Arial"/>
        <family val="2"/>
      </rPr>
      <t>2</t>
    </r>
  </si>
  <si>
    <r>
      <t>E</t>
    </r>
    <r>
      <rPr>
        <b/>
        <vertAlign val="subscript"/>
        <sz val="10"/>
        <color rgb="FF002060"/>
        <rFont val="Arial"/>
        <family val="2"/>
      </rPr>
      <t xml:space="preserve">p0 </t>
    </r>
    <r>
      <rPr>
        <b/>
        <sz val="10"/>
        <color rgb="FF002060"/>
        <rFont val="Arial"/>
        <family val="2"/>
      </rPr>
      <t>= m</t>
    </r>
    <r>
      <rPr>
        <b/>
        <vertAlign val="subscript"/>
        <sz val="10"/>
        <color rgb="FF002060"/>
        <rFont val="Arial"/>
        <family val="2"/>
      </rPr>
      <t>p0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 xml:space="preserve"> c</t>
    </r>
    <r>
      <rPr>
        <b/>
        <vertAlign val="superscript"/>
        <sz val="10"/>
        <color rgb="FF002060"/>
        <rFont val="Arial"/>
        <family val="2"/>
      </rPr>
      <t>2</t>
    </r>
  </si>
  <si>
    <r>
      <t>E</t>
    </r>
    <r>
      <rPr>
        <b/>
        <vertAlign val="subscript"/>
        <sz val="10"/>
        <color rgb="FF002060"/>
        <rFont val="Arial"/>
        <family val="2"/>
      </rPr>
      <t xml:space="preserve">n0 </t>
    </r>
    <r>
      <rPr>
        <b/>
        <sz val="10"/>
        <color rgb="FF002060"/>
        <rFont val="Arial"/>
        <family val="2"/>
      </rPr>
      <t>= m</t>
    </r>
    <r>
      <rPr>
        <b/>
        <vertAlign val="subscript"/>
        <sz val="10"/>
        <color rgb="FF002060"/>
        <rFont val="Arial"/>
        <family val="2"/>
      </rPr>
      <t>n0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 xml:space="preserve"> c</t>
    </r>
    <r>
      <rPr>
        <b/>
        <vertAlign val="superscript"/>
        <sz val="10"/>
        <color rgb="FF002060"/>
        <rFont val="Arial"/>
        <family val="2"/>
      </rPr>
      <t>2</t>
    </r>
  </si>
  <si>
    <r>
      <t xml:space="preserve"> Die Zahl </t>
    </r>
    <r>
      <rPr>
        <b/>
        <sz val="11"/>
        <color theme="1"/>
        <rFont val="Arial"/>
        <family val="2"/>
      </rPr>
      <t>π</t>
    </r>
    <r>
      <rPr>
        <sz val="11"/>
        <color theme="1"/>
        <rFont val="Arial"/>
        <family val="2"/>
      </rPr>
      <t xml:space="preserve"> ist das Verhältnis des Umfangs U eines </t>
    </r>
  </si>
  <si>
    <t xml:space="preserve"> Kreises zu seinem Durchmesser d oder die Fläche </t>
  </si>
  <si>
    <t xml:space="preserve"> eines Kreises mit dem Radius r = 1 (Einheitskreis).</t>
  </si>
  <si>
    <r>
      <t xml:space="preserve"> Verhältnis der </t>
    </r>
    <r>
      <rPr>
        <b/>
        <sz val="11"/>
        <color rgb="FF002060"/>
        <rFont val="Arial"/>
        <family val="2"/>
      </rPr>
      <t>Elektrischen Flussdichte</t>
    </r>
    <r>
      <rPr>
        <sz val="11"/>
        <color rgb="FF00206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zur </t>
    </r>
    <r>
      <rPr>
        <b/>
        <sz val="11"/>
        <color rgb="FF002060"/>
        <rFont val="Arial"/>
        <family val="2"/>
      </rPr>
      <t>Elektrischen Feldstärke</t>
    </r>
    <r>
      <rPr>
        <sz val="11"/>
        <rFont val="Arial"/>
        <family val="2"/>
      </rPr>
      <t xml:space="preserve"> im Vakuum.</t>
    </r>
  </si>
  <si>
    <r>
      <t xml:space="preserve"> Verhältnis der </t>
    </r>
    <r>
      <rPr>
        <b/>
        <sz val="11"/>
        <color rgb="FF002060"/>
        <rFont val="Arial"/>
        <family val="2"/>
      </rPr>
      <t>Magnetischen Flussdichte</t>
    </r>
    <r>
      <rPr>
        <sz val="11"/>
        <color rgb="FF00206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zur </t>
    </r>
    <r>
      <rPr>
        <b/>
        <sz val="11"/>
        <color rgb="FF002060"/>
        <rFont val="Arial"/>
        <family val="2"/>
      </rPr>
      <t>Magnetischen Feldstärke</t>
    </r>
    <r>
      <rPr>
        <sz val="11"/>
        <rFont val="Arial"/>
        <family val="2"/>
      </rPr>
      <t xml:space="preserve"> im Vakuum.</t>
    </r>
  </si>
  <si>
    <r>
      <t xml:space="preserve"> Avogadro-Konstante</t>
    </r>
    <r>
      <rPr>
        <b/>
        <sz val="11"/>
        <color theme="1"/>
        <rFont val="Arial"/>
        <family val="2"/>
      </rPr>
      <t xml:space="preserve"> N</t>
    </r>
    <r>
      <rPr>
        <b/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wird mit der Elementarladung 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multipliziert.</t>
    </r>
  </si>
  <si>
    <r>
      <rPr>
        <b/>
        <sz val="11"/>
        <color theme="1"/>
        <rFont val="Arial"/>
        <family val="2"/>
      </rPr>
      <t xml:space="preserve"> F i</t>
    </r>
    <r>
      <rPr>
        <sz val="11"/>
        <color theme="1"/>
        <rFont val="Arial"/>
        <family val="2"/>
      </rPr>
      <t xml:space="preserve">st die elektrische Ladung eines Mols einfach geladener Ionen.  Das bedeutet, die </t>
    </r>
  </si>
  <si>
    <t xml:space="preserve"> Dieses Volumen nimmt ein ideales Gas unter Normbedingungen (s. nächste Zeile) ein.</t>
  </si>
  <si>
    <r>
      <t xml:space="preserve"> Teilchenzahl (Atome, Moleküle) in 1 m³ idealen Gases unter </t>
    </r>
    <r>
      <rPr>
        <b/>
        <sz val="11"/>
        <color rgb="FF002060"/>
        <rFont val="Arial"/>
        <family val="2"/>
      </rPr>
      <t>Normbedingungen</t>
    </r>
    <r>
      <rPr>
        <sz val="11"/>
        <color theme="1"/>
        <rFont val="Arial"/>
        <family val="2"/>
      </rPr>
      <t xml:space="preserve">: </t>
    </r>
  </si>
  <si>
    <t xml:space="preserve"> Quecksilber-Säule bei T = 273,15 K bzw. 0 °C, unter 45 ° geografischer Breite.</t>
  </si>
  <si>
    <t xml:space="preserve"> Unterer Grenzwert der Temperatur (entspricht -273,15 °C). Nichts ist kälter!</t>
  </si>
  <si>
    <t xml:space="preserve"> im thermodynamischen Gleichgewicht befinden.</t>
  </si>
  <si>
    <t xml:space="preserve"> Kleinste frei existierende elektrische Ladungsmenge. Die negative Elementarladung</t>
  </si>
  <si>
    <t xml:space="preserve"> wird durch das Elektron und die positive durch das Positron verkörpert. Die Ladung </t>
  </si>
  <si>
    <t xml:space="preserve"> freier Teilchen oder von Materiemengen ist immer ein ganzzahliges Vielfaches von e.</t>
  </si>
  <si>
    <t xml:space="preserve"> außen abgibt, wenn die Tempteratur um 1 K bzw. °C erhöht wird.</t>
  </si>
  <si>
    <r>
      <t xml:space="preserve"> R stellt die Arbeit dar, die ein mol eines (idealen) Gases </t>
    </r>
    <r>
      <rPr>
        <b/>
        <sz val="11"/>
        <color theme="1"/>
        <rFont val="Arial"/>
        <family val="2"/>
      </rPr>
      <t xml:space="preserve">bei </t>
    </r>
    <r>
      <rPr>
        <sz val="11"/>
        <color theme="1"/>
        <rFont val="Arial"/>
        <family val="2"/>
      </rPr>
      <t>konstantem Druck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nach </t>
    </r>
  </si>
  <si>
    <t xml:space="preserve"> Entdeckung des Wirkungsquantums durch Max Planck 1899 - 1900 als "Hilfsgröße".</t>
  </si>
  <si>
    <t xml:space="preserve"> (Durchmesser Einheitskreis mit r = 1) dividierte Planck-Konstante h.</t>
  </si>
  <si>
    <t xml:space="preserve"> Mit dieser Kostanten lässt sich die Lage des Maximums des Plankschen Strahungs-</t>
  </si>
  <si>
    <r>
      <t xml:space="preserve"> spektrums eines Schwarzen Körpers ermitteln:  λ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 xml:space="preserve"> • T = K. </t>
    </r>
  </si>
  <si>
    <r>
      <t xml:space="preserve"> Die Rydbergkonstante ist eine nach </t>
    </r>
    <r>
      <rPr>
        <sz val="11"/>
        <color rgb="FF002060"/>
        <rFont val="Arial"/>
        <family val="2"/>
      </rPr>
      <t>Johannes Rydberg</t>
    </r>
    <r>
      <rPr>
        <sz val="11"/>
        <color theme="1"/>
        <rFont val="Arial"/>
        <family val="2"/>
      </rPr>
      <t xml:space="preserve"> benannte Naturkonstante. </t>
    </r>
  </si>
  <si>
    <t xml:space="preserve"> Beim Übergang von einer Bohrschen Bahn auf eine andere wird Energie frei bzw. </t>
  </si>
  <si>
    <t xml:space="preserve"> muss aufgebracht werden in Form eines Lichtquants ΔE = h • f (siehe Skizze vor). </t>
  </si>
  <si>
    <t xml:space="preserve"> Die Frequenzen der Strahlung errechnen sich nach der Formel:</t>
  </si>
  <si>
    <t xml:space="preserve"> Daraus ergeben sich die Linienserien für Wasserstoff (Lymanserie, Balmerserie, …</t>
  </si>
  <si>
    <t>Atomare Masseneinheit</t>
  </si>
  <si>
    <r>
      <t>μ</t>
    </r>
    <r>
      <rPr>
        <b/>
        <vertAlign val="subscript"/>
        <sz val="11"/>
        <color theme="1"/>
        <rFont val="Arial"/>
        <family val="2"/>
      </rPr>
      <t>0</t>
    </r>
  </si>
  <si>
    <r>
      <t>N</t>
    </r>
    <r>
      <rPr>
        <b/>
        <vertAlign val="subscript"/>
        <sz val="11"/>
        <color theme="1"/>
        <rFont val="Arial"/>
        <family val="2"/>
      </rPr>
      <t>A</t>
    </r>
  </si>
  <si>
    <r>
      <t>V</t>
    </r>
    <r>
      <rPr>
        <b/>
        <vertAlign val="subscript"/>
        <sz val="11"/>
        <color theme="1"/>
        <rFont val="Arial"/>
        <family val="2"/>
      </rPr>
      <t>m</t>
    </r>
  </si>
  <si>
    <r>
      <t>N</t>
    </r>
    <r>
      <rPr>
        <b/>
        <vertAlign val="subscript"/>
        <sz val="11"/>
        <color theme="1"/>
        <rFont val="Arial"/>
        <family val="2"/>
      </rPr>
      <t>L</t>
    </r>
  </si>
  <si>
    <r>
      <t>p</t>
    </r>
    <r>
      <rPr>
        <b/>
        <vertAlign val="subscript"/>
        <sz val="11"/>
        <color theme="1"/>
        <rFont val="Arial"/>
        <family val="2"/>
      </rPr>
      <t>N</t>
    </r>
  </si>
  <si>
    <r>
      <t>k</t>
    </r>
    <r>
      <rPr>
        <b/>
        <vertAlign val="subscript"/>
        <sz val="11"/>
        <color rgb="FF002060"/>
        <rFont val="Arial"/>
        <family val="2"/>
      </rPr>
      <t>B</t>
    </r>
  </si>
  <si>
    <r>
      <t xml:space="preserve"> Beschleunigung mit der sich ein frei fallender Körper auf der </t>
    </r>
    <r>
      <rPr>
        <b/>
        <sz val="11"/>
        <color theme="1"/>
        <rFont val="Arial"/>
        <family val="2"/>
      </rPr>
      <t>Erde</t>
    </r>
    <r>
      <rPr>
        <sz val="11"/>
        <color theme="1"/>
        <rFont val="Arial"/>
        <family val="2"/>
      </rPr>
      <t xml:space="preserve"> in Bewegung setzt.</t>
    </r>
  </si>
  <si>
    <t>Höhe Objekt über der Planetenoberfläche:</t>
  </si>
  <si>
    <r>
      <t>Erde: M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r = 6373 km / geplante Galileo-Satelitten in h = 23200 km über NN. </t>
    </r>
  </si>
  <si>
    <t xml:space="preserve">Im Alltag, d.h. bei den uns vertrauten Geschwindigkeiten, merken wir von der Zeitdehnung nichts. In Teilchenbeschleunigern (CERN) treten die </t>
  </si>
  <si>
    <t>Phänomene deutlich hervor. Die Halbwertszeiten radioaktiver Teilchen erhöhen sich mit der Annäherung an die Lichtgeschwindigkeit erheblich.</t>
  </si>
  <si>
    <t>Bei 99 % der Lichtgeschwindigkeit beträgt der Zeitdehnungsfaktor 7.</t>
  </si>
  <si>
    <t xml:space="preserve"> Dieser Wert ist für alle idealen Gase derselbe, insoweit also universell oder allgemein.</t>
  </si>
  <si>
    <r>
      <t xml:space="preserve"> Ergibt sich aus Boltsmann-Konstante k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multipliziert mit der Avogadro-Konstanten N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. </t>
    </r>
  </si>
  <si>
    <t>Reisedauer aus Sicht von Sepp auf der Erde:</t>
  </si>
  <si>
    <t>Reisedauer aus Sicht von Max im Raumschiff:</t>
  </si>
  <si>
    <t>Länge l des Körpers in Bewegungsrichtung im "ruhenden" System S:</t>
  </si>
  <si>
    <t xml:space="preserve">Eel = </t>
  </si>
  <si>
    <t>in den Atomkern stürzen. Das tut es aber nicht, wegen Postulat 3.</t>
  </si>
  <si>
    <t>Sepp sendet von der Erde aus 19 Signale und Max empfängt in der Rakete 19 Signale.</t>
  </si>
  <si>
    <t>Max sendet von der Rakete aus 11 Singale und Sepp empfängt auf der Erde 11 Signale.</t>
  </si>
  <si>
    <t>Weitere Beispiele für die Besetzung der Aufenhaltsbereiche:</t>
  </si>
  <si>
    <r>
      <t xml:space="preserve">Ausführungen basieren auf "Als das Licht laufen lernte" / </t>
    </r>
    <r>
      <rPr>
        <b/>
        <sz val="10"/>
        <color rgb="FFC00000"/>
        <rFont val="Arial"/>
        <family val="2"/>
      </rPr>
      <t>Daniela Leitner</t>
    </r>
    <r>
      <rPr>
        <sz val="10"/>
        <color rgb="FFC00000"/>
        <rFont val="Arial"/>
        <family val="2"/>
      </rPr>
      <t xml:space="preserve">  und "Eine kurze Geschichte der Zeit" </t>
    </r>
    <r>
      <rPr>
        <b/>
        <sz val="10"/>
        <color rgb="FFC00000"/>
        <rFont val="Arial"/>
        <family val="2"/>
      </rPr>
      <t>Stephen Hawking</t>
    </r>
    <r>
      <rPr>
        <sz val="10"/>
        <color rgb="FFC00000"/>
        <rFont val="Arial"/>
        <family val="2"/>
      </rPr>
      <t>.</t>
    </r>
  </si>
  <si>
    <r>
      <rPr>
        <b/>
        <sz val="10"/>
        <color rgb="FF002060"/>
        <rFont val="Arial"/>
        <family val="2"/>
      </rPr>
      <t>Masse = 1 g = 10</t>
    </r>
    <r>
      <rPr>
        <b/>
        <vertAlign val="superscript"/>
        <sz val="10"/>
        <color rgb="FF002060"/>
        <rFont val="Arial"/>
        <family val="2"/>
      </rPr>
      <t>-3</t>
    </r>
    <r>
      <rPr>
        <b/>
        <sz val="10"/>
        <color rgb="FF002060"/>
        <rFont val="Arial"/>
        <family val="2"/>
      </rPr>
      <t xml:space="preserve"> kg</t>
    </r>
    <r>
      <rPr>
        <sz val="10"/>
        <color rgb="FF002060"/>
        <rFont val="Wingdings"/>
        <charset val="2"/>
      </rPr>
      <t xml:space="preserve"> </t>
    </r>
    <r>
      <rPr>
        <b/>
        <sz val="10"/>
        <color rgb="FF002060"/>
        <rFont val="Calibri"/>
        <family val="2"/>
      </rPr>
      <t>→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kein relevanter Effekt:</t>
    </r>
    <r>
      <rPr>
        <sz val="10"/>
        <color rgb="FF002060"/>
        <rFont val="Arial"/>
        <family val="2"/>
      </rPr>
      <t xml:space="preserve"> Orts-Unbestimntheit Δx</t>
    </r>
    <r>
      <rPr>
        <sz val="10"/>
        <color rgb="FF002060"/>
        <rFont val="Calibri"/>
        <family val="2"/>
      </rPr>
      <t xml:space="preserve"> =</t>
    </r>
    <r>
      <rPr>
        <sz val="10"/>
        <color rgb="FF002060"/>
        <rFont val="Arial"/>
        <family val="2"/>
      </rPr>
      <t xml:space="preserve"> 1,055</t>
    </r>
    <r>
      <rPr>
        <sz val="10"/>
        <color rgb="FF002060"/>
        <rFont val="Calibri"/>
        <family val="2"/>
      </rPr>
      <t>·10</t>
    </r>
    <r>
      <rPr>
        <vertAlign val="superscript"/>
        <sz val="10"/>
        <color rgb="FF002060"/>
        <rFont val="Calibri"/>
        <family val="2"/>
      </rPr>
      <t>-22</t>
    </r>
    <r>
      <rPr>
        <sz val="10"/>
        <color rgb="FF002060"/>
        <rFont val="Calibri"/>
        <family val="2"/>
      </rPr>
      <t xml:space="preserve"> m</t>
    </r>
  </si>
  <si>
    <r>
      <t>stimmtheit des Elektrons (5,291·10</t>
    </r>
    <r>
      <rPr>
        <vertAlign val="superscript"/>
        <sz val="10"/>
        <color rgb="FF002060"/>
        <rFont val="Arial"/>
        <family val="2"/>
      </rPr>
      <t>-11</t>
    </r>
    <r>
      <rPr>
        <sz val="10"/>
        <color rgb="FF002060"/>
        <rFont val="Arial"/>
        <family val="2"/>
      </rPr>
      <t xml:space="preserve"> m).</t>
    </r>
  </si>
  <si>
    <r>
      <t>Größenordnung der errechneten Unbestimmtheit von Δv = 1,158</t>
    </r>
    <r>
      <rPr>
        <sz val="10"/>
        <color rgb="FF002060"/>
        <rFont val="Calibri"/>
        <family val="2"/>
      </rPr>
      <t>·10</t>
    </r>
    <r>
      <rPr>
        <vertAlign val="superscript"/>
        <sz val="10"/>
        <color rgb="FF002060"/>
        <rFont val="Calibri"/>
        <family val="2"/>
      </rPr>
      <t>6</t>
    </r>
    <r>
      <rPr>
        <sz val="10"/>
        <color rgb="FF002060"/>
        <rFont val="Arial"/>
        <family val="2"/>
      </rPr>
      <t xml:space="preserve"> m/s.</t>
    </r>
  </si>
  <si>
    <r>
      <t>Geschwindigkeit des Elektrons auf der 1. Bahn des H-Atoms ist mit v = 2,188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6</t>
    </r>
    <r>
      <rPr>
        <sz val="10"/>
        <color rgb="FF002060"/>
        <rFont val="Arial"/>
        <family val="2"/>
      </rPr>
      <t xml:space="preserve"> m/s in der  </t>
    </r>
  </si>
  <si>
    <r>
      <t>Sonne: Radius 0,6955 Mio km / Oberfläche = 6,0786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18</t>
    </r>
    <r>
      <rPr>
        <sz val="10"/>
        <color rgb="FF002060"/>
        <rFont val="Arial"/>
        <family val="2"/>
      </rPr>
      <t xml:space="preserve"> m</t>
    </r>
    <r>
      <rPr>
        <vertAlign val="super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/ t = 5770 °C / Emissionsgrad 1</t>
    </r>
  </si>
  <si>
    <t xml:space="preserve"> n ist die Haupt-Quantenzahl und hat für den ersten und somit </t>
  </si>
  <si>
    <t xml:space="preserve"> kleinsten Radius des Wasserstoffatoms den Wert n = 1. Dieser  </t>
  </si>
  <si>
    <t xml:space="preserve"> Radius wird als klassischer oder Bohrscher Radius bezeichnet.</t>
  </si>
  <si>
    <t xml:space="preserve"> Wichtig: Für n sind nur ganzzahliege Werte erlaubt.</t>
  </si>
  <si>
    <r>
      <t xml:space="preserve">Die uns bekannte normale Materie ist baryonisch und somit aus Hadronen aufgebaut, die aus </t>
    </r>
    <r>
      <rPr>
        <b/>
        <sz val="11"/>
        <color rgb="FF002060"/>
        <rFont val="Arial"/>
        <family val="2"/>
      </rPr>
      <t xml:space="preserve">3 Quarks, </t>
    </r>
    <r>
      <rPr>
        <sz val="11"/>
        <color rgb="FF002060"/>
        <rFont val="Arial"/>
        <family val="2"/>
      </rPr>
      <t>eines von jeder Farbe, zusammengesetzt sind und zwar:</t>
    </r>
  </si>
  <si>
    <r>
      <t>bestehen aus</t>
    </r>
    <r>
      <rPr>
        <b/>
        <sz val="11"/>
        <color rgb="FF002060"/>
        <rFont val="Arial"/>
        <family val="2"/>
      </rPr>
      <t xml:space="preserve"> 2 Up-Quarks</t>
    </r>
    <r>
      <rPr>
        <sz val="11"/>
        <color rgb="FF002060"/>
        <rFont val="Arial"/>
        <family val="2"/>
      </rPr>
      <t xml:space="preserve"> und </t>
    </r>
    <r>
      <rPr>
        <b/>
        <sz val="11"/>
        <color rgb="FF002060"/>
        <rFont val="Arial"/>
        <family val="2"/>
      </rPr>
      <t>1 Down-Quark</t>
    </r>
    <r>
      <rPr>
        <sz val="11"/>
        <color rgb="FF002060"/>
        <rFont val="Arial"/>
        <family val="2"/>
      </rPr>
      <t xml:space="preserve"> 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 Ladung: +2/3 + 2/3 - 1/3 = </t>
    </r>
    <r>
      <rPr>
        <b/>
        <sz val="11"/>
        <color rgb="FF002060"/>
        <rFont val="Arial"/>
        <family val="2"/>
      </rPr>
      <t>+1</t>
    </r>
  </si>
  <si>
    <r>
      <t xml:space="preserve">bestehen aus </t>
    </r>
    <r>
      <rPr>
        <b/>
        <sz val="11"/>
        <color rgb="FF002060"/>
        <rFont val="Arial"/>
        <family val="2"/>
      </rPr>
      <t>2 Down-Quarks</t>
    </r>
    <r>
      <rPr>
        <sz val="11"/>
        <color rgb="FF002060"/>
        <rFont val="Arial"/>
        <family val="2"/>
      </rPr>
      <t xml:space="preserve"> und </t>
    </r>
    <r>
      <rPr>
        <b/>
        <sz val="11"/>
        <color rgb="FF002060"/>
        <rFont val="Arial"/>
        <family val="2"/>
      </rPr>
      <t>1 Up-Quark</t>
    </r>
    <r>
      <rPr>
        <sz val="11"/>
        <color rgb="FF002060"/>
        <rFont val="Arial"/>
        <family val="2"/>
      </rPr>
      <t xml:space="preserve"> 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 Ladung:</t>
    </r>
    <r>
      <rPr>
        <b/>
        <sz val="11"/>
        <color rgb="FF002060"/>
        <rFont val="Arial"/>
        <family val="2"/>
      </rPr>
      <t xml:space="preserve">  </t>
    </r>
    <r>
      <rPr>
        <sz val="11"/>
        <color rgb="FF002060"/>
        <rFont val="Arial"/>
        <family val="2"/>
      </rPr>
      <t xml:space="preserve"> - 1/3 -1/3 +2/3 =   </t>
    </r>
    <r>
      <rPr>
        <b/>
        <sz val="11"/>
        <color rgb="FF002060"/>
        <rFont val="Arial"/>
        <family val="2"/>
      </rPr>
      <t>0</t>
    </r>
  </si>
  <si>
    <r>
      <t xml:space="preserve">Die Materieteilchen folgen dem schon o. a. </t>
    </r>
    <r>
      <rPr>
        <b/>
        <sz val="11"/>
        <color theme="1"/>
        <rFont val="Arial"/>
        <family val="2"/>
      </rPr>
      <t>Paulischen Ausschließungsprinzip.</t>
    </r>
    <r>
      <rPr>
        <sz val="11"/>
        <color theme="1"/>
        <rFont val="Arial"/>
        <family val="2"/>
      </rPr>
      <t xml:space="preserve"> Danach ist es ausgeschlossen, dass zwei gleiche Teilchen, z. B. 2 Up-Quarks</t>
    </r>
  </si>
  <si>
    <r>
      <t xml:space="preserve">in einem Proton, sich im gleichen Zustand befinden. Sie dürfen, in den </t>
    </r>
    <r>
      <rPr>
        <b/>
        <sz val="11"/>
        <color theme="1"/>
        <rFont val="Arial"/>
        <family val="2"/>
      </rPr>
      <t>Grenzen der Unbestimmtheitsrelation</t>
    </r>
    <r>
      <rPr>
        <sz val="11"/>
        <color theme="1"/>
        <rFont val="Arial"/>
        <family val="2"/>
      </rPr>
      <t xml:space="preserve">, nicht die gleiche Position und Geschwindigkeit </t>
    </r>
  </si>
  <si>
    <r>
      <t>werden und eine</t>
    </r>
    <r>
      <rPr>
        <u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starke Kraft hervorrufen. Wenn die Teilchen über eine große Masse verfügen (wie das Z-Boson) ist es schwer, sie über große Distanzen aus-</t>
    </r>
  </si>
  <si>
    <t xml:space="preserve">zutauschen. Darum haben die Kräfte, die sie übertragen, nur eine kurze Reichweite. Haben die Kräfteteilchen keine Masse (z. B. Photon), dann wirken die Kräfte </t>
  </si>
  <si>
    <t>Dieser Vorgang wird als "Wasserstoffbrennen" bezeichnet</t>
  </si>
  <si>
    <r>
      <t>Masse der Erde M</t>
    </r>
    <r>
      <rPr>
        <vertAlign val="subscript"/>
        <sz val="11"/>
        <color rgb="FF002060"/>
        <rFont val="Arial"/>
        <family val="2"/>
      </rPr>
      <t>E</t>
    </r>
    <r>
      <rPr>
        <sz val="11"/>
        <color rgb="FF002060"/>
        <rFont val="Arial"/>
        <family val="2"/>
      </rPr>
      <t xml:space="preserve"> = 5,972 </t>
    </r>
    <r>
      <rPr>
        <sz val="11"/>
        <color rgb="FF002060"/>
        <rFont val="Calibri"/>
        <family val="2"/>
      </rPr>
      <t>·</t>
    </r>
    <r>
      <rPr>
        <sz val="11"/>
        <color rgb="FF002060"/>
        <rFont val="Arial"/>
        <family val="2"/>
      </rPr>
      <t xml:space="preserve"> 10</t>
    </r>
    <r>
      <rPr>
        <vertAlign val="superscript"/>
        <sz val="11"/>
        <color rgb="FF002060"/>
        <rFont val="Arial"/>
        <family val="2"/>
      </rPr>
      <t>24</t>
    </r>
    <r>
      <rPr>
        <sz val="11"/>
        <color rgb="FF002060"/>
        <rFont val="Arial"/>
        <family val="2"/>
      </rPr>
      <t xml:space="preserve"> kg</t>
    </r>
  </si>
  <si>
    <t>Lies hierzu auch:</t>
  </si>
  <si>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Spalte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E</t>
    </r>
  </si>
  <si>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Spalte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F</t>
    </r>
  </si>
  <si>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Spalte</t>
    </r>
    <r>
      <rPr>
        <b/>
        <sz val="11"/>
        <color rgb="FF00206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G</t>
    </r>
  </si>
  <si>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Spalte </t>
    </r>
    <r>
      <rPr>
        <b/>
        <sz val="11"/>
        <color rgb="FFC00000"/>
        <rFont val="Arial"/>
        <family val="2"/>
      </rPr>
      <t>H / I</t>
    </r>
  </si>
  <si>
    <r>
      <t>sie theoretisch genau die Erdoberfläche erreicht (</t>
    </r>
    <r>
      <rPr>
        <b/>
        <sz val="11"/>
        <color rgb="FF002060"/>
        <rFont val="Arial"/>
        <family val="2"/>
      </rPr>
      <t>h</t>
    </r>
    <r>
      <rPr>
        <b/>
        <vertAlign val="subscript"/>
        <sz val="11"/>
        <color rgb="FF002060"/>
        <rFont val="Arial"/>
        <family val="2"/>
      </rPr>
      <t>n</t>
    </r>
    <r>
      <rPr>
        <b/>
        <sz val="11"/>
        <color rgb="FF002060"/>
        <rFont val="Arial"/>
        <family val="2"/>
      </rPr>
      <t xml:space="preserve"> = 10000 m</t>
    </r>
    <r>
      <rPr>
        <sz val="11"/>
        <color rgb="FF002060"/>
        <rFont val="Arial"/>
        <family val="2"/>
      </rPr>
      <t>). Nach 21,99 HWZ (= 21,989 • 1,52 μs = 33,42 μs) sind aber so gut wie alle Myonen zerfallen,</t>
    </r>
  </si>
  <si>
    <t>Umrechnung der Energie in Elektronenvolt (eV), in der Atomphysik gebräuchlich:</t>
  </si>
  <si>
    <t>Relativistische oder Gesamt-Energie:</t>
  </si>
  <si>
    <t xml:space="preserve"> Anzahl Teilchen (Atome, Moleküle) in 1 mol (mol = Atom- bzw. Molekül-Masse in g).</t>
  </si>
  <si>
    <r>
      <rPr>
        <sz val="9"/>
        <color rgb="FF0070C0"/>
        <rFont val="Arial"/>
        <family val="2"/>
      </rPr>
      <t xml:space="preserve">Newton </t>
    </r>
    <r>
      <rPr>
        <sz val="9"/>
        <color rgb="FF0070C0"/>
        <rFont val="Calibri"/>
        <family val="2"/>
      </rPr>
      <t>→</t>
    </r>
    <r>
      <rPr>
        <sz val="9"/>
        <color rgb="FF0070C0"/>
        <rFont val="Arial"/>
        <family val="2"/>
      </rPr>
      <t xml:space="preserve"> Infinitisimalrechnung     </t>
    </r>
    <r>
      <rPr>
        <u/>
        <sz val="9"/>
        <color rgb="FF0070C0"/>
        <rFont val="Arial"/>
        <family val="2"/>
      </rPr>
      <t>https://www.youtube.com/watch?v=oUCqT7aM7hE</t>
    </r>
    <r>
      <rPr>
        <sz val="9"/>
        <color rgb="FF0070C0"/>
        <rFont val="Arial"/>
        <family val="2"/>
      </rPr>
      <t xml:space="preserve">     10 min</t>
    </r>
  </si>
  <si>
    <t>Das Bohrsche Atommodell</t>
  </si>
  <si>
    <r>
      <t xml:space="preserve">Schalen </t>
    </r>
    <r>
      <rPr>
        <b/>
        <sz val="11"/>
        <color theme="1"/>
        <rFont val="Arial"/>
        <family val="2"/>
      </rPr>
      <t>voll besetzt</t>
    </r>
    <r>
      <rPr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oder</t>
    </r>
    <r>
      <rPr>
        <sz val="11"/>
        <color theme="1"/>
        <rFont val="Arial"/>
        <family val="2"/>
      </rPr>
      <t xml:space="preserve"> haben einen </t>
    </r>
    <r>
      <rPr>
        <b/>
        <sz val="11"/>
        <color theme="1"/>
        <rFont val="Arial"/>
        <family val="2"/>
      </rPr>
      <t>stabilen Zustand</t>
    </r>
    <r>
      <rPr>
        <sz val="11"/>
        <color theme="1"/>
        <rFont val="Arial"/>
        <family val="2"/>
      </rPr>
      <t xml:space="preserve"> erreicht.</t>
    </r>
  </si>
  <si>
    <t xml:space="preserve">g = </t>
  </si>
  <si>
    <r>
      <t xml:space="preserve"> m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</si>
  <si>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t xml:space="preserve">ω = </t>
  </si>
  <si>
    <r>
      <t xml:space="preserve"> s</t>
    </r>
    <r>
      <rPr>
        <vertAlign val="superscript"/>
        <sz val="11"/>
        <color theme="1"/>
        <rFont val="Arial"/>
        <family val="2"/>
      </rPr>
      <t>-1</t>
    </r>
  </si>
  <si>
    <t xml:space="preserve">Erde: </t>
  </si>
  <si>
    <t xml:space="preserve">Asteroid: </t>
  </si>
  <si>
    <r>
      <t xml:space="preserve"> kg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Cambria"/>
        <family val="1"/>
      </rPr>
      <t>-3</t>
    </r>
  </si>
  <si>
    <r>
      <t xml:space="preserve"> m</t>
    </r>
    <r>
      <rPr>
        <vertAlign val="superscript"/>
        <sz val="11"/>
        <color theme="1"/>
        <rFont val="Arial"/>
        <family val="2"/>
      </rPr>
      <t>3</t>
    </r>
  </si>
  <si>
    <t xml:space="preserve">V = </t>
  </si>
  <si>
    <t xml:space="preserve">ρ = </t>
  </si>
  <si>
    <t xml:space="preserve"> h:min:s </t>
  </si>
  <si>
    <t>Kreisfrequenz der Schwingung:</t>
  </si>
  <si>
    <t>Periodendauer der Schwingung:</t>
  </si>
  <si>
    <t xml:space="preserve">Radius Himmelskörper: </t>
  </si>
  <si>
    <t xml:space="preserve">Volumen: </t>
  </si>
  <si>
    <t xml:space="preserve">Mittlere Dichte:  </t>
  </si>
  <si>
    <t xml:space="preserve">Masse: </t>
  </si>
  <si>
    <r>
      <t>v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 xml:space="preserve"> = </t>
    </r>
  </si>
  <si>
    <t>Maximale Geschwindigkeit des Fallkörpers:</t>
  </si>
  <si>
    <r>
      <t xml:space="preserve"> m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-1</t>
    </r>
  </si>
  <si>
    <t>Gravitationsfeldstärke am Radius R:</t>
  </si>
  <si>
    <r>
      <t xml:space="preserve">Ein kugelförmiger Himmelskörper mit dem Radius </t>
    </r>
    <r>
      <rPr>
        <b/>
        <sz val="11"/>
        <color rgb="FF002060"/>
        <rFont val="Arial"/>
        <family val="2"/>
      </rPr>
      <t>R</t>
    </r>
    <r>
      <rPr>
        <sz val="11"/>
        <color rgb="FF002060"/>
        <rFont val="Arial"/>
        <family val="2"/>
      </rPr>
      <t xml:space="preserve"> und der Dichte </t>
    </r>
    <r>
      <rPr>
        <b/>
        <sz val="11"/>
        <color rgb="FF002060"/>
        <rFont val="Arial"/>
        <family val="2"/>
      </rPr>
      <t>ρ</t>
    </r>
    <r>
      <rPr>
        <sz val="11"/>
        <color rgb="FF002060"/>
        <rFont val="Arial"/>
        <family val="2"/>
      </rPr>
      <t xml:space="preserve"> ist von einem Loch durchdrungen, das geradlinig durch den Mittelpunkt auf die gegenüber- </t>
    </r>
  </si>
  <si>
    <r>
      <t>Radius: 6373 km  /  Dichte 5508 kg</t>
    </r>
    <r>
      <rPr>
        <sz val="11"/>
        <color rgb="FF002060"/>
        <rFont val="Calibri"/>
        <family val="2"/>
      </rPr>
      <t>·m</t>
    </r>
    <r>
      <rPr>
        <vertAlign val="superscript"/>
        <sz val="11"/>
        <color rgb="FF002060"/>
        <rFont val="Calibri"/>
        <family val="2"/>
      </rPr>
      <t>-3</t>
    </r>
    <r>
      <rPr>
        <sz val="11"/>
        <color rgb="FF002060"/>
        <rFont val="Arial"/>
        <family val="2"/>
      </rPr>
      <t xml:space="preserve">  /  Ergebnis: T = 5063 Sekunden</t>
    </r>
  </si>
  <si>
    <t>Feinstrukturkonstante</t>
  </si>
  <si>
    <t xml:space="preserve">Gibt die Strärke der elektromagnetischen Wechselwirkung an. Wurde 1916 von Arnold  </t>
  </si>
  <si>
    <t>des Wasserstoffatoms.</t>
  </si>
  <si>
    <t xml:space="preserve">Sommerfeld eingeführt zur Aufspaltung (Feinstruktur) von Spektrallinien im Spektrum </t>
  </si>
  <si>
    <t>Die Schwingung beginnt an der Amplidude mit v = 0 und bei Querung der Zeitachse ist v = max.</t>
  </si>
  <si>
    <r>
      <t>μ</t>
    </r>
    <r>
      <rPr>
        <vertAlign val="subscript"/>
        <sz val="10"/>
        <color rgb="FF002060"/>
        <rFont val="Arial"/>
        <family val="2"/>
      </rPr>
      <t>0</t>
    </r>
    <r>
      <rPr>
        <sz val="10"/>
        <color rgb="FF002060"/>
        <rFont val="Arial"/>
        <family val="2"/>
      </rPr>
      <t xml:space="preserve"> = 4 • π • 10</t>
    </r>
    <r>
      <rPr>
        <vertAlign val="superscript"/>
        <sz val="10"/>
        <color rgb="FF002060"/>
        <rFont val="Arial"/>
        <family val="2"/>
      </rPr>
      <t>-7</t>
    </r>
  </si>
  <si>
    <r>
      <t>N</t>
    </r>
    <r>
      <rPr>
        <vertAlign val="subscript"/>
        <sz val="10"/>
        <color rgb="FF002060"/>
        <rFont val="Arial"/>
        <family val="2"/>
      </rPr>
      <t>L</t>
    </r>
    <r>
      <rPr>
        <sz val="10"/>
        <color rgb="FF002060"/>
        <rFont val="Arial"/>
        <family val="2"/>
      </rPr>
      <t xml:space="preserve"> = N</t>
    </r>
    <r>
      <rPr>
        <vertAlign val="subscript"/>
        <sz val="10"/>
        <color rgb="FF002060"/>
        <rFont val="Arial"/>
        <family val="2"/>
      </rPr>
      <t xml:space="preserve">A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 xml:space="preserve"> V</t>
    </r>
    <r>
      <rPr>
        <vertAlign val="subscript"/>
        <sz val="10"/>
        <color rgb="FF002060"/>
        <rFont val="Arial"/>
        <family val="2"/>
      </rPr>
      <t>m</t>
    </r>
    <r>
      <rPr>
        <vertAlign val="superscript"/>
        <sz val="10"/>
        <color rgb="FF002060"/>
        <rFont val="Arial"/>
        <family val="2"/>
      </rPr>
      <t>-1</t>
    </r>
  </si>
  <si>
    <r>
      <t>R = N</t>
    </r>
    <r>
      <rPr>
        <vertAlign val="subscript"/>
        <sz val="10"/>
        <color rgb="FF002060"/>
        <rFont val="Arial"/>
        <family val="2"/>
      </rPr>
      <t xml:space="preserve">A </t>
    </r>
    <r>
      <rPr>
        <b/>
        <sz val="10"/>
        <color rgb="FF002060"/>
        <rFont val="Calibri"/>
        <family val="2"/>
      </rPr>
      <t>∙</t>
    </r>
    <r>
      <rPr>
        <b/>
        <sz val="10"/>
        <color rgb="FF002060"/>
        <rFont val="Arial"/>
        <family val="2"/>
      </rPr>
      <t xml:space="preserve"> </t>
    </r>
    <r>
      <rPr>
        <sz val="10"/>
        <color rgb="FF002060"/>
        <rFont val="Arial"/>
        <family val="2"/>
      </rPr>
      <t>k</t>
    </r>
    <r>
      <rPr>
        <vertAlign val="subscript"/>
        <sz val="10"/>
        <color rgb="FF002060"/>
        <rFont val="Arial"/>
        <family val="2"/>
      </rPr>
      <t>B</t>
    </r>
  </si>
  <si>
    <t>Schiefer Turm in Pisa</t>
  </si>
  <si>
    <t xml:space="preserve">              Newtons Beweisführung mit dem </t>
  </si>
  <si>
    <t xml:space="preserve">       ersten und zweiten Newtonschen Gesetz</t>
  </si>
  <si>
    <t>Lorentz- oder Zeitdehnungs-Faktor:</t>
  </si>
  <si>
    <r>
      <t>1/6 des Wertes der Erde von g = 9,81 m·s</t>
    </r>
    <r>
      <rPr>
        <vertAlign val="superscript"/>
        <sz val="10"/>
        <color rgb="FF002060"/>
        <rFont val="Arial"/>
        <family val="2"/>
      </rPr>
      <t>-2</t>
    </r>
    <r>
      <rPr>
        <sz val="10"/>
        <color rgb="FF002060"/>
        <rFont val="Arial"/>
        <family val="2"/>
      </rPr>
      <t xml:space="preserve">. Bei </t>
    </r>
  </si>
  <si>
    <t>der Erde spricht man von der Erdbeschleunigung.</t>
  </si>
  <si>
    <t>Durchmesser</t>
  </si>
  <si>
    <t>Beim Fusionsprozess wird Energie (Strahlung) abgegeben (26,196 MeV gesamter Formelumsatz), die</t>
  </si>
  <si>
    <t>Geburt (s. o.) beschrieben.</t>
  </si>
  <si>
    <t xml:space="preserve">Im Folgenden werden die Erscheinungs-Typen der Sterne nach ihrer </t>
  </si>
  <si>
    <t>In jedem Inertialsystem gelten die gleichen physikalischen Gesetze.</t>
  </si>
  <si>
    <r>
      <t xml:space="preserve"> </t>
    </r>
    <r>
      <rPr>
        <b/>
        <u/>
        <sz val="9"/>
        <color theme="9" tint="-0.499984740745262"/>
        <rFont val="Arial"/>
        <family val="2"/>
      </rPr>
      <t>Grafik: 234035.forumromanum.com</t>
    </r>
    <r>
      <rPr>
        <sz val="10"/>
        <color theme="1"/>
        <rFont val="Arial"/>
        <family val="2"/>
      </rPr>
      <t xml:space="preserve">                                   Umlaufgeschwindigkeit:</t>
    </r>
  </si>
  <si>
    <r>
      <t xml:space="preserve">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Foto: de-freepik.com</t>
    </r>
  </si>
  <si>
    <r>
      <t xml:space="preserve">              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mpg.de</t>
    </r>
  </si>
  <si>
    <r>
      <t xml:space="preserve">                                                                      </t>
    </r>
    <r>
      <rPr>
        <b/>
        <sz val="9"/>
        <color theme="9" tint="-0.499984740745262"/>
        <rFont val="Arial"/>
        <family val="2"/>
      </rPr>
      <t xml:space="preserve"> </t>
    </r>
    <r>
      <rPr>
        <b/>
        <u/>
        <sz val="9"/>
        <color theme="9" tint="-0.499984740745262"/>
        <rFont val="Arial"/>
        <family val="2"/>
      </rPr>
      <t>Grafik: spektrum.de</t>
    </r>
    <r>
      <rPr>
        <b/>
        <sz val="9"/>
        <color theme="9" tint="-0.499984740745262"/>
        <rFont val="Arial"/>
        <family val="2"/>
      </rPr>
      <t xml:space="preserve"> </t>
    </r>
    <r>
      <rPr>
        <sz val="10"/>
        <color theme="9" tint="-0.499984740745262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 So würde die Milchstraße (Balkenspiral-Glaxie) von außen betrachtet in der Draufsicht aussehen.</t>
    </r>
  </si>
  <si>
    <r>
      <t xml:space="preserve">                        </t>
    </r>
    <r>
      <rPr>
        <b/>
        <u/>
        <sz val="9"/>
        <color theme="9" tint="-0.499984740745262"/>
        <rFont val="Arial"/>
        <family val="2"/>
      </rPr>
      <t>Grafik: abenteuer-universum.de</t>
    </r>
  </si>
  <si>
    <r>
      <t xml:space="preserve">        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die-ullrichs.com</t>
    </r>
  </si>
  <si>
    <r>
      <t xml:space="preserve">                     </t>
    </r>
    <r>
      <rPr>
        <b/>
        <u/>
        <sz val="9"/>
        <color theme="9" tint="-0.499984740745262"/>
        <rFont val="Arial"/>
        <family val="2"/>
      </rPr>
      <t>Bild:  spektrum.de</t>
    </r>
  </si>
  <si>
    <r>
      <t xml:space="preserve">               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leifiphysik.de</t>
    </r>
  </si>
  <si>
    <r>
      <rPr>
        <b/>
        <sz val="9"/>
        <color theme="9" tint="-0.499984740745262"/>
        <rFont val="Arial"/>
        <family val="2"/>
      </rPr>
      <t xml:space="preserve">    </t>
    </r>
    <r>
      <rPr>
        <b/>
        <u/>
        <sz val="9"/>
        <color theme="9" tint="-0.499984740745262"/>
        <rFont val="Arial"/>
        <family val="2"/>
      </rPr>
      <t>Foto: scinexx.de</t>
    </r>
  </si>
  <si>
    <r>
      <rPr>
        <b/>
        <sz val="9"/>
        <color theme="9" tint="-0.499984740745262"/>
        <rFont val="Arial"/>
        <family val="2"/>
      </rPr>
      <t xml:space="preserve">       </t>
    </r>
    <r>
      <rPr>
        <b/>
        <u/>
        <sz val="9"/>
        <color theme="9" tint="-0.499984740745262"/>
        <rFont val="Arial"/>
        <family val="2"/>
      </rPr>
      <t>Bild: spektrum.de</t>
    </r>
  </si>
  <si>
    <r>
      <rPr>
        <b/>
        <u/>
        <sz val="9"/>
        <color theme="9" tint="-0.499984740745262"/>
        <rFont val="Arial"/>
        <family val="2"/>
      </rPr>
      <t>Grafik; spiegel.de/wissenschaft/technik/physik …</t>
    </r>
    <r>
      <rPr>
        <sz val="9"/>
        <rFont val="Arial"/>
        <family val="2"/>
      </rPr>
      <t xml:space="preserve">                  </t>
    </r>
    <r>
      <rPr>
        <sz val="10"/>
        <rFont val="Arial"/>
        <family val="2"/>
      </rPr>
      <t>Empfänger-Frequenz:</t>
    </r>
  </si>
  <si>
    <r>
      <rPr>
        <b/>
        <sz val="9"/>
        <color theme="9" tint="-0.499984740745262"/>
        <rFont val="Arial"/>
        <family val="2"/>
      </rPr>
      <t xml:space="preserve">        </t>
    </r>
    <r>
      <rPr>
        <b/>
        <u/>
        <sz val="9"/>
        <color theme="9" tint="-0.499984740745262"/>
        <rFont val="Arial"/>
        <family val="2"/>
      </rPr>
      <t>Grafik / Foto:  prezi.c</t>
    </r>
  </si>
  <si>
    <r>
      <rPr>
        <b/>
        <sz val="9"/>
        <color theme="9" tint="-0.499984740745262"/>
        <rFont val="Arial"/>
        <family val="2"/>
      </rPr>
      <t xml:space="preserve">                                                    </t>
    </r>
    <r>
      <rPr>
        <b/>
        <u/>
        <sz val="9"/>
        <color theme="9" tint="-0.499984740745262"/>
        <rFont val="Arial"/>
        <family val="2"/>
      </rPr>
      <t>Grafik:  de.wikipedia.org</t>
    </r>
  </si>
  <si>
    <t>σ = Stefan-Boltzmann-Konstante (siehe Seite 1)</t>
  </si>
  <si>
    <r>
      <rPr>
        <sz val="11"/>
        <color rgb="FF002060"/>
        <rFont val="Calibri"/>
        <family val="2"/>
      </rPr>
      <t>•</t>
    </r>
    <r>
      <rPr>
        <sz val="11"/>
        <color rgb="FF002060"/>
        <rFont val="Arial"/>
        <family val="2"/>
      </rPr>
      <t xml:space="preserve"> Um welche Zeitspanne </t>
    </r>
    <r>
      <rPr>
        <b/>
        <sz val="11"/>
        <color rgb="FF002060"/>
        <rFont val="Arial"/>
        <family val="2"/>
      </rPr>
      <t>Δt</t>
    </r>
    <r>
      <rPr>
        <sz val="11"/>
        <color rgb="FF002060"/>
        <rFont val="Arial"/>
        <family val="2"/>
      </rPr>
      <t xml:space="preserve"> gehen die Uhren der Raumfahrer im Ziel nach, im Vergleich zur Uhr des Beobachters im Ziel?</t>
    </r>
  </si>
  <si>
    <t>(Bordzeit)</t>
  </si>
  <si>
    <t xml:space="preserve">    Josehph Hafele</t>
  </si>
  <si>
    <t>Beispiel stammt aus dem "alten" Buch</t>
  </si>
  <si>
    <r>
      <t xml:space="preserve">Neue Physik von </t>
    </r>
    <r>
      <rPr>
        <b/>
        <sz val="10"/>
        <color theme="9" tint="-0.499984740745262"/>
        <rFont val="Arial"/>
        <family val="2"/>
      </rPr>
      <t xml:space="preserve">Werner Braunbek </t>
    </r>
  </si>
  <si>
    <t>von 1973.</t>
  </si>
  <si>
    <r>
      <rPr>
        <b/>
        <sz val="9"/>
        <color theme="9" tint="-0.499984740745262"/>
        <rFont val="Arial"/>
        <family val="2"/>
      </rPr>
      <t xml:space="preserve">                     </t>
    </r>
    <r>
      <rPr>
        <b/>
        <u/>
        <sz val="9"/>
        <color theme="9" tint="-0.499984740745262"/>
        <rFont val="Arial"/>
        <family val="2"/>
      </rPr>
      <t>Grafik: ipp.mpg.de</t>
    </r>
  </si>
  <si>
    <r>
      <t xml:space="preserve">     </t>
    </r>
    <r>
      <rPr>
        <b/>
        <u/>
        <sz val="9"/>
        <color theme="9" tint="-0.499984740745262"/>
        <rFont val="Arial"/>
        <family val="2"/>
      </rPr>
      <t>Grafik</t>
    </r>
    <r>
      <rPr>
        <b/>
        <sz val="9"/>
        <color theme="9" tint="-0.499984740745262"/>
        <rFont val="Arial"/>
        <family val="2"/>
      </rPr>
      <t xml:space="preserve">: </t>
    </r>
  </si>
  <si>
    <r>
      <rPr>
        <b/>
        <sz val="9"/>
        <color theme="9" tint="-0.499984740745262"/>
        <rFont val="Arial"/>
        <family val="2"/>
      </rPr>
      <t xml:space="preserve">     </t>
    </r>
    <r>
      <rPr>
        <b/>
        <u/>
        <sz val="9"/>
        <color theme="9" tint="-0.499984740745262"/>
        <rFont val="Arial"/>
        <family val="2"/>
      </rPr>
      <t>mgf-kulmbach.de</t>
    </r>
  </si>
  <si>
    <r>
      <rPr>
        <b/>
        <sz val="9"/>
        <color rgb="FFC00000"/>
        <rFont val="Calibri"/>
        <family val="2"/>
      </rPr>
      <t>↑</t>
    </r>
    <r>
      <rPr>
        <b/>
        <sz val="9"/>
        <color rgb="FFC00000"/>
        <rFont val="Arial"/>
        <family val="2"/>
      </rPr>
      <t xml:space="preserve"> </t>
    </r>
    <r>
      <rPr>
        <b/>
        <u/>
        <sz val="9"/>
        <color rgb="FFC00000"/>
        <rFont val="Arial"/>
        <family val="2"/>
      </rPr>
      <t>Grafik: spektrum.de</t>
    </r>
  </si>
  <si>
    <r>
      <rPr>
        <b/>
        <sz val="9"/>
        <color rgb="FFC00000"/>
        <rFont val="Calibri"/>
        <family val="2"/>
      </rPr>
      <t xml:space="preserve">↓ </t>
    </r>
    <r>
      <rPr>
        <b/>
        <u/>
        <sz val="9"/>
        <color rgb="FFC00000"/>
        <rFont val="Arial"/>
        <family val="2"/>
      </rPr>
      <t>Grafik: gym-vaterstetten.de</t>
    </r>
  </si>
  <si>
    <r>
      <rPr>
        <b/>
        <sz val="9"/>
        <color rgb="FFC00000"/>
        <rFont val="Arial"/>
        <family val="2"/>
      </rPr>
      <t xml:space="preserve">   </t>
    </r>
    <r>
      <rPr>
        <b/>
        <sz val="9"/>
        <color rgb="FFC00000"/>
        <rFont val="Calibri"/>
        <family val="2"/>
      </rPr>
      <t xml:space="preserve">↑ </t>
    </r>
    <r>
      <rPr>
        <b/>
        <u/>
        <sz val="9"/>
        <color rgb="FFC00000"/>
        <rFont val="Arial"/>
        <family val="2"/>
      </rPr>
      <t>Grafik: wikipedia.org</t>
    </r>
  </si>
  <si>
    <r>
      <rPr>
        <b/>
        <sz val="9"/>
        <color theme="9" tint="-0.499984740745262"/>
        <rFont val="Arial"/>
        <family val="2"/>
      </rPr>
      <t xml:space="preserve">                  </t>
    </r>
    <r>
      <rPr>
        <b/>
        <u/>
        <sz val="9"/>
        <color theme="9" tint="-0.499984740745262"/>
        <rFont val="Arial"/>
        <family val="2"/>
      </rPr>
      <t>Grafik: www.leifipyhsik.de</t>
    </r>
  </si>
  <si>
    <r>
      <rPr>
        <b/>
        <sz val="9"/>
        <color theme="9" tint="-0.499984740745262"/>
        <rFont val="Arial"/>
        <family val="2"/>
      </rPr>
      <t xml:space="preserve">               </t>
    </r>
    <r>
      <rPr>
        <b/>
        <u/>
        <sz val="9"/>
        <color theme="9" tint="-0.499984740745262"/>
        <rFont val="Arial"/>
        <family val="2"/>
      </rPr>
      <t>Grafiken: asto.udec.cl  und  supernova.eso.org</t>
    </r>
  </si>
  <si>
    <r>
      <rPr>
        <b/>
        <sz val="9"/>
        <color theme="9" tint="-0.499984740745262"/>
        <rFont val="Arial"/>
        <family val="2"/>
      </rPr>
      <t xml:space="preserve">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br-online.de</t>
    </r>
  </si>
  <si>
    <r>
      <t xml:space="preserve">                </t>
    </r>
    <r>
      <rPr>
        <b/>
        <u/>
        <sz val="9"/>
        <color theme="9" tint="-0.499984740745262"/>
        <rFont val="Arial"/>
        <family val="2"/>
      </rPr>
      <t>Grafik: wikipedia.org</t>
    </r>
  </si>
  <si>
    <r>
      <t xml:space="preserve">                                                     </t>
    </r>
    <r>
      <rPr>
        <b/>
        <sz val="9"/>
        <color theme="9" tint="-0.499984740745262"/>
        <rFont val="Calibri"/>
        <family val="2"/>
      </rPr>
      <t xml:space="preserve">←  </t>
    </r>
    <r>
      <rPr>
        <b/>
        <u/>
        <sz val="9"/>
        <color theme="9" tint="-0.499984740745262"/>
        <rFont val="Arial"/>
        <family val="2"/>
      </rPr>
      <t>Bild: de.fehrplay.com</t>
    </r>
  </si>
  <si>
    <r>
      <rPr>
        <b/>
        <sz val="9"/>
        <color rgb="FFC00000"/>
        <rFont val="Arial"/>
        <family val="2"/>
      </rPr>
      <t xml:space="preserve">             </t>
    </r>
    <r>
      <rPr>
        <b/>
        <u/>
        <sz val="9"/>
        <color rgb="FFC00000"/>
        <rFont val="Arial"/>
        <family val="2"/>
      </rPr>
      <t>Grafiken: wikipedia.org</t>
    </r>
  </si>
  <si>
    <r>
      <rPr>
        <b/>
        <sz val="9"/>
        <color theme="9" tint="-0.499984740745262"/>
        <rFont val="Arial"/>
        <family val="2"/>
      </rPr>
      <t xml:space="preserve">           </t>
    </r>
    <r>
      <rPr>
        <b/>
        <u/>
        <sz val="9"/>
        <color theme="9" tint="-0.499984740745262"/>
        <rFont val="Arial"/>
        <family val="2"/>
      </rPr>
      <t>Grafik ist aus einer Website der Uni Wuppertal</t>
    </r>
  </si>
  <si>
    <t>Abb. "images" uni-goettingen</t>
  </si>
  <si>
    <r>
      <t>H</t>
    </r>
    <r>
      <rPr>
        <vertAlign val="subscript"/>
        <sz val="10"/>
        <color theme="1"/>
        <rFont val="Arial"/>
        <family val="2"/>
      </rPr>
      <t>alpha</t>
    </r>
    <r>
      <rPr>
        <sz val="10"/>
        <color theme="1"/>
        <rFont val="Arial"/>
        <family val="2"/>
      </rPr>
      <t xml:space="preserve"> = 656,3 / H</t>
    </r>
    <r>
      <rPr>
        <vertAlign val="subscript"/>
        <sz val="10"/>
        <color theme="1"/>
        <rFont val="Arial"/>
        <family val="2"/>
      </rPr>
      <t>beta</t>
    </r>
    <r>
      <rPr>
        <sz val="10"/>
        <color theme="1"/>
        <rFont val="Arial"/>
        <family val="2"/>
      </rPr>
      <t xml:space="preserve"> = 486,1 / H</t>
    </r>
    <r>
      <rPr>
        <vertAlign val="subscript"/>
        <sz val="10"/>
        <color theme="1"/>
        <rFont val="Arial"/>
        <family val="2"/>
      </rPr>
      <t>gamma</t>
    </r>
    <r>
      <rPr>
        <sz val="10"/>
        <color theme="1"/>
        <rFont val="Arial"/>
        <family val="2"/>
      </rPr>
      <t xml:space="preserve"> = 434,1 / H</t>
    </r>
    <r>
      <rPr>
        <vertAlign val="subscript"/>
        <sz val="10"/>
        <color theme="1"/>
        <rFont val="Arial"/>
        <family val="2"/>
      </rPr>
      <t>delta</t>
    </r>
    <r>
      <rPr>
        <sz val="10"/>
        <color theme="1"/>
        <rFont val="Arial"/>
        <family val="2"/>
      </rPr>
      <t xml:space="preserve"> = 410,2 / H</t>
    </r>
    <r>
      <rPr>
        <vertAlign val="subscript"/>
        <sz val="10"/>
        <color theme="1"/>
        <rFont val="Arial"/>
        <family val="2"/>
      </rPr>
      <t>epsilon</t>
    </r>
    <r>
      <rPr>
        <sz val="10"/>
        <color theme="1"/>
        <rFont val="Arial"/>
        <family val="2"/>
      </rPr>
      <t xml:space="preserve"> = 397,0</t>
    </r>
  </si>
  <si>
    <r>
      <rPr>
        <b/>
        <sz val="9"/>
        <color theme="9" tint="-0.499984740745262"/>
        <rFont val="Arial"/>
        <family val="2"/>
      </rPr>
      <t xml:space="preserve">        </t>
    </r>
    <r>
      <rPr>
        <b/>
        <u/>
        <sz val="9"/>
        <color theme="9" tint="-0.499984740745262"/>
        <rFont val="Arial"/>
        <family val="2"/>
      </rPr>
      <t>Formel der Grafiken: uni-ulm.de</t>
    </r>
  </si>
  <si>
    <r>
      <t xml:space="preserve">                    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weltderphysik.de</t>
    </r>
  </si>
  <si>
    <r>
      <t xml:space="preserve">                                                                                           </t>
    </r>
    <r>
      <rPr>
        <b/>
        <u/>
        <sz val="9"/>
        <color theme="9" tint="-0.499984740745262"/>
        <rFont val="Arial"/>
        <family val="2"/>
      </rPr>
      <t>Grafik: profmattstrassler.com</t>
    </r>
  </si>
  <si>
    <t xml:space="preserve">         Proton / Elektron         Antiproton / Positron</t>
  </si>
  <si>
    <r>
      <rPr>
        <b/>
        <sz val="9"/>
        <color theme="9" tint="-0.499984740745262"/>
        <rFont val="Arial"/>
        <family val="2"/>
      </rPr>
      <t xml:space="preserve">    </t>
    </r>
    <r>
      <rPr>
        <b/>
        <u/>
        <sz val="9"/>
        <color theme="9" tint="-0.499984740745262"/>
        <rFont val="Arial"/>
        <family val="2"/>
      </rPr>
      <t>Grafik: datacenter-insider.de</t>
    </r>
  </si>
  <si>
    <t>Grafik: aus Bachelor-Arbeit von Christian Mertens aus Herten, 2014</t>
  </si>
  <si>
    <r>
      <rPr>
        <b/>
        <sz val="9"/>
        <color theme="9" tint="-0.499984740745262"/>
        <rFont val="Arial"/>
        <family val="2"/>
      </rPr>
      <t xml:space="preserve">                            </t>
    </r>
    <r>
      <rPr>
        <b/>
        <u/>
        <sz val="9"/>
        <color theme="9" tint="-0.499984740745262"/>
        <rFont val="Arial"/>
        <family val="2"/>
      </rPr>
      <t>Grafik: commons-wikimedia.org</t>
    </r>
  </si>
  <si>
    <r>
      <rPr>
        <b/>
        <sz val="9"/>
        <color theme="9" tint="-0.499984740745262"/>
        <rFont val="Arial"/>
        <family val="2"/>
      </rPr>
      <t xml:space="preserve">     </t>
    </r>
    <r>
      <rPr>
        <b/>
        <u/>
        <sz val="9"/>
        <color theme="9" tint="-0.499984740745262"/>
        <rFont val="Arial"/>
        <family val="2"/>
      </rPr>
      <t>Grafik: gravity-paris/en/index-phys</t>
    </r>
  </si>
  <si>
    <t>Grafiken: wikipedia.org</t>
  </si>
  <si>
    <t>die Bahnen des Hüllenelektrons, folgende Parameter:</t>
  </si>
  <si>
    <r>
      <t xml:space="preserve">  </t>
    </r>
    <r>
      <rPr>
        <b/>
        <sz val="11"/>
        <color rgb="FFC00000"/>
        <rFont val="Calibri"/>
        <family val="2"/>
      </rPr>
      <t>→</t>
    </r>
  </si>
  <si>
    <t>Wert aus D51 S. 2 / ggf. Variationen dort vornehmen!</t>
  </si>
  <si>
    <r>
      <t>Nr. der Bohrschen Kreisbahn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Hauptqunatenzahl:</t>
    </r>
  </si>
  <si>
    <r>
      <rPr>
        <sz val="11"/>
        <color rgb="FF0070C0"/>
        <rFont val="Calibri"/>
        <family val="2"/>
      </rPr>
      <t xml:space="preserve">Photoeffekt, ...   </t>
    </r>
    <r>
      <rPr>
        <u/>
        <sz val="11"/>
        <color rgb="FF0070C0"/>
        <rFont val="Calibri"/>
        <family val="2"/>
      </rPr>
      <t>https://www.youtube.com/watch?v=7fLFOgSVFJM</t>
    </r>
    <r>
      <rPr>
        <sz val="11"/>
        <color rgb="FF0070C0"/>
        <rFont val="Calibri"/>
        <family val="2"/>
      </rPr>
      <t xml:space="preserve">    10 min</t>
    </r>
  </si>
  <si>
    <r>
      <t>Grafik</t>
    </r>
    <r>
      <rPr>
        <b/>
        <sz val="9"/>
        <color rgb="FFC00000"/>
        <rFont val="Arial"/>
        <family val="2"/>
      </rPr>
      <t xml:space="preserve">: </t>
    </r>
  </si>
  <si>
    <r>
      <rPr>
        <sz val="10"/>
        <color rgb="FF7030A0"/>
        <rFont val="Arial"/>
        <family val="2"/>
      </rPr>
      <t xml:space="preserve">         Heisenbergsche Unschärferelation     </t>
    </r>
    <r>
      <rPr>
        <u/>
        <sz val="10"/>
        <color rgb="FF7030A0"/>
        <rFont val="Arial"/>
        <family val="2"/>
      </rPr>
      <t>https://www.youtube.com/watch?v=pBekV7dXdfY</t>
    </r>
    <r>
      <rPr>
        <sz val="10"/>
        <color rgb="FF7030A0"/>
        <rFont val="Arial"/>
        <family val="2"/>
      </rPr>
      <t xml:space="preserve">     5 min</t>
    </r>
  </si>
  <si>
    <r>
      <t xml:space="preserve">Klassische Mechanik </t>
    </r>
    <r>
      <rPr>
        <sz val="10"/>
        <rFont val="Arial"/>
        <family val="2"/>
      </rPr>
      <t>(nur gültig wenn E</t>
    </r>
    <r>
      <rPr>
        <vertAlign val="subscript"/>
        <sz val="10"/>
        <rFont val="Arial"/>
        <family val="2"/>
      </rPr>
      <t>kin</t>
    </r>
    <r>
      <rPr>
        <sz val="10"/>
        <rFont val="Arial"/>
        <family val="2"/>
      </rPr>
      <t xml:space="preserve"> &lt;&lt; E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</t>
    </r>
    <r>
      <rPr>
        <b/>
        <sz val="10"/>
        <rFont val="Arial"/>
        <family val="2"/>
      </rPr>
      <t>:</t>
    </r>
  </si>
  <si>
    <r>
      <t xml:space="preserve">Relativistische Mechanik </t>
    </r>
    <r>
      <rPr>
        <sz val="10"/>
        <rFont val="Arial"/>
        <family val="2"/>
      </rPr>
      <t>(</t>
    </r>
    <r>
      <rPr>
        <u/>
        <sz val="10"/>
        <rFont val="Arial"/>
        <family val="2"/>
      </rPr>
      <t>fast</t>
    </r>
    <r>
      <rPr>
        <sz val="10"/>
        <rFont val="Arial"/>
        <family val="2"/>
      </rPr>
      <t xml:space="preserve"> immer gültig)</t>
    </r>
    <r>
      <rPr>
        <b/>
        <sz val="10"/>
        <rFont val="Arial"/>
        <family val="2"/>
      </rPr>
      <t xml:space="preserve">: </t>
    </r>
  </si>
  <si>
    <r>
      <t xml:space="preserve">Klassisch </t>
    </r>
    <r>
      <rPr>
        <b/>
        <sz val="10"/>
        <color theme="1"/>
        <rFont val="Calibri"/>
        <family val="2"/>
      </rPr>
      <t xml:space="preserve">→ </t>
    </r>
    <r>
      <rPr>
        <b/>
        <sz val="10"/>
        <color theme="1"/>
        <rFont val="Arial"/>
        <family val="2"/>
      </rPr>
      <t>Galilei, Newton</t>
    </r>
    <r>
      <rPr>
        <sz val="10"/>
        <color theme="1"/>
        <rFont val="Arial"/>
        <family val="2"/>
      </rPr>
      <t xml:space="preserve"> (</t>
    </r>
    <r>
      <rPr>
        <sz val="10"/>
        <rFont val="Arial"/>
        <family val="2"/>
      </rPr>
      <t>nur wenn</t>
    </r>
    <r>
      <rPr>
        <b/>
        <sz val="10"/>
        <color rgb="FFC00000"/>
        <rFont val="Arial"/>
        <family val="2"/>
      </rPr>
      <t xml:space="preserve"> v &lt;&lt; c</t>
    </r>
    <r>
      <rPr>
        <sz val="10"/>
        <color theme="1"/>
        <rFont val="Arial"/>
        <family val="2"/>
      </rPr>
      <t>):</t>
    </r>
  </si>
  <si>
    <r>
      <t xml:space="preserve"> </t>
    </r>
    <r>
      <rPr>
        <b/>
        <sz val="10"/>
        <color theme="1"/>
        <rFont val="Arial"/>
        <family val="2"/>
      </rPr>
      <t xml:space="preserve">Relativistisch </t>
    </r>
    <r>
      <rPr>
        <b/>
        <sz val="10"/>
        <color theme="1"/>
        <rFont val="Calibri"/>
        <family val="2"/>
      </rPr>
      <t xml:space="preserve">→ </t>
    </r>
    <r>
      <rPr>
        <b/>
        <sz val="10"/>
        <color theme="1"/>
        <rFont val="Arial"/>
        <family val="2"/>
      </rPr>
      <t xml:space="preserve">Einstein </t>
    </r>
    <r>
      <rPr>
        <sz val="10"/>
        <color theme="1"/>
        <rFont val="Arial"/>
        <family val="2"/>
      </rPr>
      <t>(geht</t>
    </r>
    <r>
      <rPr>
        <b/>
        <sz val="10"/>
        <color rgb="FFC00000"/>
        <rFont val="Arial"/>
        <family val="2"/>
      </rPr>
      <t xml:space="preserve"> immer</t>
    </r>
    <r>
      <rPr>
        <sz val="10"/>
        <color theme="1"/>
        <rFont val="Arial"/>
        <family val="2"/>
      </rPr>
      <t>):</t>
    </r>
  </si>
  <si>
    <t>Lichtablenkung</t>
  </si>
  <si>
    <t>Die Theorie ist gültig unter zwei Postulaten:</t>
  </si>
  <si>
    <r>
      <t>γ</t>
    </r>
    <r>
      <rPr>
        <b/>
        <vertAlign val="subscript"/>
        <sz val="11"/>
        <color rgb="FF002060"/>
        <rFont val="Arial"/>
        <family val="2"/>
      </rPr>
      <t>G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 xml:space="preserve">= </t>
    </r>
  </si>
  <si>
    <r>
      <t xml:space="preserve">                                 </t>
    </r>
    <r>
      <rPr>
        <b/>
        <u/>
        <sz val="9"/>
        <color theme="9" tint="-0.499984740745262"/>
        <rFont val="Arial"/>
        <family val="2"/>
      </rPr>
      <t>Grafik: abiweb.de</t>
    </r>
  </si>
  <si>
    <t>Geschwindigkeitsaddition</t>
  </si>
  <si>
    <t xml:space="preserve">konstant ist.  </t>
  </si>
  <si>
    <t>Das ist das Verschiebungsgesetz von Wilhelm Wien:</t>
  </si>
  <si>
    <r>
      <t>Zeitdauer t im "ruhenden" System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S:</t>
    </r>
  </si>
  <si>
    <r>
      <t xml:space="preserve">Vorgangs und der Genauigkeit </t>
    </r>
    <r>
      <rPr>
        <b/>
        <sz val="10"/>
        <color rgb="FF002060"/>
        <rFont val="Arial"/>
        <family val="2"/>
      </rPr>
      <t>ΔE</t>
    </r>
    <r>
      <rPr>
        <sz val="10"/>
        <color theme="1"/>
        <rFont val="Arial"/>
        <family val="2"/>
      </rPr>
      <t xml:space="preserve"> mit der die Energie dieses Teilchens festgelegt ist:</t>
    </r>
  </si>
  <si>
    <t>Wenn ich die Energie des Teilchens genau kenne, kann ich nicht sagen, wie lange es</t>
  </si>
  <si>
    <t xml:space="preserve">sie behalten wird. Wenn ich die Zeit der Energieabgabe genau kenne, kann ich nicht </t>
  </si>
  <si>
    <t>sagen wie hoch die Energie war. Unbestimmtheit gilt auch für Winkel und Drehimpuls:</t>
  </si>
  <si>
    <r>
      <t xml:space="preserve">Die spektrale Verteilung der </t>
    </r>
    <r>
      <rPr>
        <b/>
        <sz val="10"/>
        <color rgb="FF002060"/>
        <rFont val="Arial"/>
        <family val="2"/>
      </rPr>
      <t xml:space="preserve">kosmischen Hintergrundstrahlung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T = 2,725 K</t>
    </r>
    <r>
      <rPr>
        <sz val="10"/>
        <color rgb="FF002060"/>
        <rFont val="Arial"/>
        <family val="2"/>
      </rPr>
      <t xml:space="preserve"> </t>
    </r>
  </si>
  <si>
    <r>
      <rPr>
        <b/>
        <sz val="10"/>
        <color theme="9" tint="-0.499984740745262"/>
        <rFont val="Arial"/>
        <family val="2"/>
      </rPr>
      <t>*)</t>
    </r>
    <r>
      <rPr>
        <sz val="10"/>
        <color rgb="FF002060"/>
        <rFont val="Arial"/>
        <family val="2"/>
      </rPr>
      <t xml:space="preserve"> </t>
    </r>
    <r>
      <rPr>
        <sz val="10"/>
        <rFont val="Arial"/>
        <family val="2"/>
      </rPr>
      <t xml:space="preserve">US-Amerikanische Physiker. Die Hintergrundstrahlung wurde 1965 von den US-Amerik. Physikern Penzias und Wilson bei Arbeiten mit einer Horn-Antenne </t>
    </r>
    <r>
      <rPr>
        <b/>
        <sz val="10"/>
        <rFont val="Arial"/>
        <family val="2"/>
      </rPr>
      <t>zufällig</t>
    </r>
    <r>
      <rPr>
        <sz val="10"/>
        <rFont val="Arial"/>
        <family val="2"/>
      </rPr>
      <t xml:space="preserve"> entdeckt.</t>
    </r>
  </si>
  <si>
    <t>Gelöst wurde das Problem im Jahr 1900 mit der Einführung des</t>
  </si>
  <si>
    <r>
      <t xml:space="preserve">die totale abgestrahlte Energie und das </t>
    </r>
    <r>
      <rPr>
        <b/>
        <sz val="10"/>
        <color theme="1"/>
        <rFont val="Arial"/>
        <family val="2"/>
      </rPr>
      <t>Maximum</t>
    </r>
    <r>
      <rPr>
        <b/>
        <sz val="9"/>
        <color theme="1"/>
        <rFont val="Arial"/>
        <family val="2"/>
      </rPr>
      <t xml:space="preserve"> </t>
    </r>
    <r>
      <rPr>
        <b/>
        <sz val="9"/>
        <color rgb="FF0070C0"/>
        <rFont val="Calibri"/>
        <family val="2"/>
        <scheme val="minor"/>
      </rPr>
      <t>↓</t>
    </r>
    <r>
      <rPr>
        <sz val="10"/>
        <color theme="1"/>
        <rFont val="Arial"/>
        <family val="2"/>
      </rPr>
      <t xml:space="preserve"> der Strahlungskurve wandert </t>
    </r>
  </si>
  <si>
    <r>
      <rPr>
        <b/>
        <sz val="10"/>
        <color theme="1"/>
        <rFont val="Arial"/>
        <family val="2"/>
      </rPr>
      <t>λ</t>
    </r>
    <r>
      <rPr>
        <b/>
        <vertAlign val="subscript"/>
        <sz val="10"/>
        <color theme="1"/>
        <rFont val="Arial"/>
        <family val="2"/>
      </rPr>
      <t>max</t>
    </r>
    <r>
      <rPr>
        <b/>
        <sz val="10"/>
        <color theme="1"/>
        <rFont val="Arial"/>
        <family val="2"/>
      </rPr>
      <t xml:space="preserve"> </t>
    </r>
    <r>
      <rPr>
        <b/>
        <vertAlign val="subscript"/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 xml:space="preserve"> T = K </t>
    </r>
    <r>
      <rPr>
        <sz val="10"/>
        <color theme="1"/>
        <rFont val="Arial"/>
        <family val="2"/>
      </rPr>
      <t>(Wien-Konstante = 2,898</t>
    </r>
    <r>
      <rPr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>10</t>
    </r>
    <r>
      <rPr>
        <vertAlign val="superscript"/>
        <sz val="10"/>
        <color theme="1"/>
        <rFont val="Arial"/>
        <family val="2"/>
      </rPr>
      <t>-3</t>
    </r>
    <r>
      <rPr>
        <sz val="10"/>
        <color theme="1"/>
        <rFont val="Arial"/>
        <family val="2"/>
      </rPr>
      <t xml:space="preserve"> m</t>
    </r>
    <r>
      <rPr>
        <b/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 xml:space="preserve">K) </t>
    </r>
  </si>
  <si>
    <r>
      <t xml:space="preserve">Temperatur T über alle Spektralbereiche aussendet </t>
    </r>
    <r>
      <rPr>
        <b/>
        <sz val="9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entspricht der Fläche unter </t>
    </r>
  </si>
  <si>
    <r>
      <t xml:space="preserve"> </t>
    </r>
    <r>
      <rPr>
        <b/>
        <sz val="10"/>
        <color rgb="FF002060"/>
        <rFont val="Arial"/>
        <family val="2"/>
      </rPr>
      <t>Planckschen Wirkungsquantums h = 6,626·10</t>
    </r>
    <r>
      <rPr>
        <b/>
        <vertAlign val="superscript"/>
        <sz val="10"/>
        <color rgb="FF002060"/>
        <rFont val="Arial"/>
        <family val="2"/>
      </rPr>
      <t>-34</t>
    </r>
    <r>
      <rPr>
        <b/>
        <sz val="10"/>
        <color rgb="FF002060"/>
        <rFont val="Arial"/>
        <family val="2"/>
      </rPr>
      <t xml:space="preserve"> J·s</t>
    </r>
    <r>
      <rPr>
        <sz val="10"/>
        <color rgb="FF002060"/>
        <rFont val="Arial"/>
        <family val="2"/>
      </rPr>
      <t xml:space="preserve">. </t>
    </r>
  </si>
  <si>
    <t>Wilhelm Wien (1864 - 1928)</t>
  </si>
  <si>
    <t>Wie groß ist der Schwarzschildradius dieses Teilchens?</t>
  </si>
  <si>
    <t>Geschwindigkeiten addieren sich nicht einfach, es gilt die relativistische Addition.</t>
  </si>
  <si>
    <r>
      <t xml:space="preserve">     </t>
    </r>
    <r>
      <rPr>
        <b/>
        <sz val="10"/>
        <color rgb="FF002060"/>
        <rFont val="Arial"/>
        <family val="2"/>
      </rPr>
      <t>Teilchen:</t>
    </r>
    <r>
      <rPr>
        <sz val="10"/>
        <color rgb="FF002060"/>
        <rFont val="Arial"/>
        <family val="2"/>
      </rPr>
      <t xml:space="preserve">        Lokalisiert auf Bahn / unteilbar / Ort und Impuls</t>
    </r>
  </si>
  <si>
    <r>
      <t xml:space="preserve">         </t>
    </r>
    <r>
      <rPr>
        <b/>
        <sz val="10"/>
        <color rgb="FF002060"/>
        <rFont val="Arial"/>
        <family val="2"/>
      </rPr>
      <t>Welle</t>
    </r>
    <r>
      <rPr>
        <sz val="10"/>
        <color rgb="FF002060"/>
        <rFont val="Arial"/>
        <family val="2"/>
      </rPr>
      <t>:        Ausgedehnt in Raum und Zeit / teilbar / Amplitude und Phase</t>
    </r>
  </si>
  <si>
    <t xml:space="preserve">Kosmische Geschwindigkeiten (simple phys.) 8 min </t>
  </si>
  <si>
    <t>Das Sonnensystem - unsere Heimat (simple physics)  5 min</t>
  </si>
  <si>
    <t xml:space="preserve">  Bei der Massezunahme handelt es sich um die Zunahme der trägen Masse und nicht um die Hinzugewinnung von Materie in Form weiterer Atome / Moleküle.</t>
  </si>
  <si>
    <t>Hubble-Konsante / Hubble-Gesetz  5 min</t>
  </si>
  <si>
    <t>Wie groß ist das Universum? (simp. phys.)   4 min</t>
  </si>
  <si>
    <t>Eine kurze Geschichte des Universums, 3sat  6 min</t>
  </si>
  <si>
    <t>Was war vor dem Urknall?  Prof. H. Lesch    7 min</t>
  </si>
  <si>
    <t>Heisenbergsche Unbestimmtheitsrelation</t>
  </si>
  <si>
    <t xml:space="preserve"> Orts- und Impuls-Unbestimmtheit eines Quanten-Objekts:</t>
  </si>
  <si>
    <t xml:space="preserve">Quantenobjeks wie Atom, Atomkern, Elektron, …, beliebig ungenau, wenn man es mit Teilchen beobachtet, </t>
  </si>
  <si>
    <t>sprich anstrahlt, deren Impuls beliebig genau bekannt ist (Δp &lt;&lt;) und umgekehrt.</t>
  </si>
  <si>
    <r>
      <t xml:space="preserve">         </t>
    </r>
    <r>
      <rPr>
        <b/>
        <u/>
        <sz val="9"/>
        <color theme="9" tint="-0.499984740745262"/>
        <rFont val="Arial"/>
        <family val="2"/>
      </rPr>
      <t>Bild: wikipedia.org</t>
    </r>
    <r>
      <rPr>
        <b/>
        <sz val="9"/>
        <color theme="9" tint="-0.499984740745262"/>
        <rFont val="Arial"/>
        <family val="2"/>
      </rPr>
      <t xml:space="preserve">                   </t>
    </r>
    <r>
      <rPr>
        <b/>
        <u/>
        <sz val="9"/>
        <color theme="9" tint="-0.499984740745262"/>
        <rFont val="Arial"/>
        <family val="2"/>
      </rPr>
      <t>Grafik: leifi-physik</t>
    </r>
  </si>
  <si>
    <t>Milchstraße (simple physics)  5 min</t>
  </si>
  <si>
    <r>
      <t xml:space="preserve"> Das war die Geburt der </t>
    </r>
    <r>
      <rPr>
        <b/>
        <sz val="10"/>
        <color rgb="FF002060"/>
        <rFont val="Arial"/>
        <family val="2"/>
      </rPr>
      <t>Quantenphysik</t>
    </r>
    <r>
      <rPr>
        <b/>
        <sz val="10"/>
        <color rgb="FFC00000"/>
        <rFont val="Arial"/>
        <family val="2"/>
      </rPr>
      <t>*</t>
    </r>
    <r>
      <rPr>
        <sz val="10"/>
        <color rgb="FF002060"/>
        <rFont val="Arial"/>
        <family val="2"/>
      </rPr>
      <t>.</t>
    </r>
  </si>
  <si>
    <t>12 min</t>
  </si>
  <si>
    <t xml:space="preserve">Prof. H. Lesch zum Higgs- und den anderen Teilchen  </t>
  </si>
  <si>
    <t xml:space="preserve">Bahnposition verdrängt und ist folglich nicht mehr an dem Ort, an dem es war bevor ich hinsah, sprich es </t>
  </si>
  <si>
    <t xml:space="preserve">ein Begriff wie Ort / Impuls / Zeit / Energie an sich genau genommen sinnlos, denn er kann nur dann Sinn </t>
  </si>
  <si>
    <t xml:space="preserve">ergeben, wenn man ihn auch exakt messen kann. Durch den Messvorgang wird das System aber derart </t>
  </si>
  <si>
    <t xml:space="preserve">beeinflusst, dass es unmöglich wird den Zustand zu ermitteln, den das System vor der Beobachtung hatte. </t>
  </si>
  <si>
    <t>kleiner als die tatsächlichen Messfehler, dass im Alltag nichts auffällt, z. B. Positonsbestimmung eines ICE.</t>
  </si>
  <si>
    <r>
      <t>Max wechselt vier mal das Inertialsystem. Er</t>
    </r>
    <r>
      <rPr>
        <b/>
        <sz val="11"/>
        <color rgb="FF002060"/>
        <rFont val="Arial"/>
        <family val="2"/>
      </rPr>
      <t xml:space="preserve"> </t>
    </r>
    <r>
      <rPr>
        <sz val="11"/>
        <color rgb="FF002060"/>
        <rFont val="Arial"/>
        <family val="2"/>
      </rPr>
      <t>wird beschleunigt</t>
    </r>
    <r>
      <rPr>
        <b/>
        <sz val="11"/>
        <color theme="9" tint="-0.499984740745262"/>
        <rFont val="Arial"/>
        <family val="2"/>
      </rPr>
      <t>*</t>
    </r>
    <r>
      <rPr>
        <sz val="11"/>
        <color rgb="FF002060"/>
        <rFont val="Arial"/>
        <family val="2"/>
      </rPr>
      <t xml:space="preserve"> (+/-), sodass die allgemeine Relativitäts- </t>
    </r>
  </si>
  <si>
    <r>
      <t>Kollision verändert die Geschwindigkeit dieses Teilchens ganz so, "</t>
    </r>
    <r>
      <rPr>
        <b/>
        <sz val="11"/>
        <rFont val="Arial"/>
        <family val="2"/>
      </rPr>
      <t>als wirke eine Kraft"</t>
    </r>
    <r>
      <rPr>
        <sz val="11"/>
        <rFont val="Arial"/>
        <family val="2"/>
      </rPr>
      <t xml:space="preserve"> zwischen den Materieteilchen.</t>
    </r>
  </si>
  <si>
    <t>Planck entdeckte den Wert als er in einem "Akt der Verzweiflung" Methoden der</t>
  </si>
  <si>
    <t xml:space="preserve">Spektrale Intensitätsdichte:    </t>
  </si>
  <si>
    <r>
      <t xml:space="preserve">    Energiequant (</t>
    </r>
    <r>
      <rPr>
        <sz val="10"/>
        <color theme="1"/>
        <rFont val="Arial"/>
        <family val="2"/>
      </rPr>
      <t>E = h · f</t>
    </r>
    <r>
      <rPr>
        <sz val="11"/>
        <color theme="1"/>
        <rFont val="Arial"/>
        <family val="2"/>
      </rPr>
      <t>), das bei dieser Wellenlänge abgegeben wird:</t>
    </r>
  </si>
  <si>
    <t>Bild:  scilogs.spektrum.de</t>
  </si>
  <si>
    <r>
      <t xml:space="preserve">erkennen, was auch heute noch "unscharf" die Heisenbergsche </t>
    </r>
    <r>
      <rPr>
        <b/>
        <sz val="10"/>
        <color theme="1"/>
        <rFont val="Arial"/>
        <family val="2"/>
      </rPr>
      <t>Unschärfe</t>
    </r>
    <r>
      <rPr>
        <sz val="10"/>
        <color theme="1"/>
        <rFont val="Arial"/>
        <family val="2"/>
      </rPr>
      <t xml:space="preserve">relation genannt wird. So wird </t>
    </r>
  </si>
  <si>
    <r>
      <t>schiedenen Wellenlängen verteilt (</t>
    </r>
    <r>
      <rPr>
        <sz val="9"/>
        <color rgb="FF002060"/>
        <rFont val="Calibri"/>
        <family val="2"/>
      </rPr>
      <t xml:space="preserve">→ </t>
    </r>
    <r>
      <rPr>
        <b/>
        <sz val="9"/>
        <color rgb="FF002060"/>
        <rFont val="Arial"/>
        <family val="2"/>
      </rPr>
      <t>Planck-Spektrum</t>
    </r>
    <r>
      <rPr>
        <sz val="9"/>
        <color rgb="FF002060"/>
        <rFont val="Arial"/>
        <family val="2"/>
      </rPr>
      <t>).</t>
    </r>
  </si>
  <si>
    <t xml:space="preserve">Die Grafik zeigt, wie sich die pro Zeiteinheit abgestrahlte Energie </t>
  </si>
  <si>
    <t xml:space="preserve">eines Körpers in Abhängigkeit von seiner Temperatur auf die ver- </t>
  </si>
  <si>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ist die Konstante aus dem 3. Keppler- Gesetz (s. oben). Nach dem </t>
    </r>
    <r>
      <rPr>
        <b/>
        <sz val="11"/>
        <rFont val="Arial"/>
        <family val="2"/>
      </rPr>
      <t>3. Newtonschen Gesetz</t>
    </r>
    <r>
      <rPr>
        <sz val="11"/>
        <rFont val="Arial"/>
        <family val="2"/>
      </rPr>
      <t xml:space="preserve"> muss der Trabant auf den Zentralkörper eine gleich große Kraft </t>
    </r>
  </si>
  <si>
    <r>
      <t xml:space="preserve">ausüben wie dieser auf ihn. Die Gravitationskraft muss daher auch proportional zur Masse M des Zentralkörpers sein: Wechselwirkungsprinzip </t>
    </r>
    <r>
      <rPr>
        <b/>
        <sz val="11"/>
        <rFont val="Arial"/>
        <family val="2"/>
      </rPr>
      <t>actio = reactio</t>
    </r>
    <r>
      <rPr>
        <sz val="11"/>
        <rFont val="Arial"/>
        <family val="2"/>
      </rPr>
      <t>!</t>
    </r>
  </si>
  <si>
    <r>
      <t xml:space="preserve"> Häufig wird auch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ħ</t>
    </r>
    <r>
      <rPr>
        <sz val="11"/>
        <color theme="1"/>
        <rFont val="Arial"/>
        <family val="2"/>
      </rPr>
      <t xml:space="preserve"> (sprich: h quer) verwendet, in der Atomphysik. Das ist die durch 2π</t>
    </r>
  </si>
  <si>
    <r>
      <t xml:space="preserve"> Die Stefan-Boltzmann-Konstante (nicht verwechseln mit der Boltzmann-Konstanten k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)</t>
    </r>
  </si>
  <si>
    <t xml:space="preserve"> ist Bestandteil des Stefan-Boltzmann-Gesetzes, dass die Strahlungsleistung für einen </t>
  </si>
  <si>
    <r>
      <t xml:space="preserve"> "Schwarzen Strahler" ergibt, gemäß der Formel P = σ • A • T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. </t>
    </r>
  </si>
  <si>
    <r>
      <t xml:space="preserve"> Die Zahl </t>
    </r>
    <r>
      <rPr>
        <b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ist Basis für den natürlichen Logarithmus </t>
    </r>
    <r>
      <rPr>
        <b/>
        <sz val="11"/>
        <color theme="1"/>
        <rFont val="Arial"/>
        <family val="2"/>
      </rPr>
      <t>ln</t>
    </r>
    <r>
      <rPr>
        <sz val="11"/>
        <color theme="1"/>
        <rFont val="Arial"/>
        <family val="2"/>
      </rPr>
      <t xml:space="preserve"> und damit auch der natürlichen</t>
    </r>
  </si>
  <si>
    <t>Deterministisches Chaos</t>
  </si>
  <si>
    <t xml:space="preserve"> d</t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</si>
  <si>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</t>
    </r>
  </si>
  <si>
    <t xml:space="preserve">     Deutsche Geophysikalische Gesellschaft</t>
  </si>
  <si>
    <r>
      <t xml:space="preserve">                     </t>
    </r>
    <r>
      <rPr>
        <b/>
        <sz val="10"/>
        <color rgb="FFC00000"/>
        <rFont val="Arial"/>
        <family val="2"/>
      </rPr>
      <t xml:space="preserve"> </t>
    </r>
    <r>
      <rPr>
        <b/>
        <u/>
        <sz val="10"/>
        <color rgb="FFC00000"/>
        <rFont val="Arial"/>
        <family val="2"/>
      </rPr>
      <t>Bild astronomie.de</t>
    </r>
  </si>
  <si>
    <r>
      <t xml:space="preserve">      </t>
    </r>
    <r>
      <rPr>
        <b/>
        <u/>
        <sz val="10"/>
        <color theme="9" tint="-0.499984740745262"/>
        <rFont val="Arial"/>
        <family val="2"/>
      </rPr>
      <t>Grafik: de.wikipedia.org</t>
    </r>
  </si>
  <si>
    <r>
      <t xml:space="preserve">               </t>
    </r>
    <r>
      <rPr>
        <b/>
        <sz val="10"/>
        <color rgb="FFC00000"/>
        <rFont val="Arial"/>
        <family val="2"/>
      </rPr>
      <t xml:space="preserve"> </t>
    </r>
    <r>
      <rPr>
        <b/>
        <u/>
        <sz val="10"/>
        <color rgb="FFC00000"/>
        <rFont val="Arial"/>
        <family val="2"/>
      </rPr>
      <t>Grafik: wikipedia.org</t>
    </r>
  </si>
  <si>
    <r>
      <t xml:space="preserve">                </t>
    </r>
    <r>
      <rPr>
        <b/>
        <u/>
        <sz val="10"/>
        <color theme="9" tint="-0.499984740745262"/>
        <rFont val="Arial"/>
        <family val="2"/>
      </rPr>
      <t>Grafik: de.wikipedia.org</t>
    </r>
  </si>
  <si>
    <r>
      <t xml:space="preserve">           </t>
    </r>
    <r>
      <rPr>
        <b/>
        <u/>
        <sz val="10"/>
        <color rgb="FFC00000"/>
        <rFont val="Arial"/>
        <family val="2"/>
      </rPr>
      <t>Bild: DGG-Mitteilungen 1/2017</t>
    </r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</si>
  <si>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bzw. N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kg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>, da N = kg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</si>
  <si>
    <t xml:space="preserve"> J/K</t>
  </si>
  <si>
    <r>
      <t xml:space="preserve"> m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K</t>
    </r>
  </si>
  <si>
    <t xml:space="preserve">σ = </t>
  </si>
  <si>
    <t xml:space="preserve">K = </t>
  </si>
  <si>
    <t xml:space="preserve">     Schwarzes Loch (simple physics)    4 min</t>
  </si>
  <si>
    <t xml:space="preserve"> Josef Stefan (1835 - 1893)     Ludwig Boltzmann (1844 - 1906)</t>
  </si>
  <si>
    <r>
      <t>Determinismus = Kausale Vorbestimmtheit allen Geschehens (Laplace</t>
    </r>
    <r>
      <rPr>
        <b/>
        <sz val="11"/>
        <color rgb="FFC00000"/>
        <rFont val="Arial"/>
        <family val="2"/>
      </rPr>
      <t>*</t>
    </r>
    <r>
      <rPr>
        <sz val="11"/>
        <rFont val="Arial"/>
        <family val="2"/>
      </rPr>
      <t xml:space="preserve"> </t>
    </r>
    <r>
      <rPr>
        <sz val="11"/>
        <rFont val="Calibri"/>
        <family val="2"/>
      </rPr>
      <t>→</t>
    </r>
    <r>
      <rPr>
        <sz val="1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falsch</t>
    </r>
    <r>
      <rPr>
        <sz val="11"/>
        <rFont val="Arial"/>
        <family val="2"/>
      </rPr>
      <t>)</t>
    </r>
  </si>
  <si>
    <r>
      <t>Henri Poincare</t>
    </r>
    <r>
      <rPr>
        <sz val="11"/>
        <color rgb="FFC00000"/>
        <rFont val="Arial"/>
        <family val="2"/>
      </rPr>
      <t>**</t>
    </r>
    <r>
      <rPr>
        <sz val="11"/>
        <rFont val="Arial"/>
        <family val="2"/>
      </rPr>
      <t xml:space="preserve">: Sonnensystem ist </t>
    </r>
    <r>
      <rPr>
        <b/>
        <sz val="11"/>
        <rFont val="Arial"/>
        <family val="2"/>
      </rPr>
      <t>nicht</t>
    </r>
    <r>
      <rPr>
        <sz val="11"/>
        <rFont val="Arial"/>
        <family val="2"/>
      </rPr>
      <t xml:space="preserve"> stabil. Ausgangslage </t>
    </r>
    <r>
      <rPr>
        <sz val="11"/>
        <rFont val="Calibri"/>
        <family val="2"/>
      </rPr>
      <t>→</t>
    </r>
    <r>
      <rPr>
        <sz val="11"/>
        <rFont val="Arial"/>
        <family val="2"/>
      </rPr>
      <t xml:space="preserve"> Planet wird rausgeworfen; stabile und instabile Bahnen liegen dicht beieinander, bei endlicher </t>
    </r>
  </si>
  <si>
    <r>
      <rPr>
        <b/>
        <sz val="10"/>
        <color rgb="FFC00000"/>
        <rFont val="Arial"/>
        <family val="2"/>
      </rPr>
      <t>*</t>
    </r>
    <r>
      <rPr>
        <sz val="10"/>
        <color rgb="FFC00000"/>
        <rFont val="Arial"/>
        <family val="2"/>
      </rPr>
      <t>)</t>
    </r>
    <r>
      <rPr>
        <sz val="10"/>
        <rFont val="Arial"/>
        <family val="2"/>
      </rPr>
      <t xml:space="preserve"> Pierre-Simon Laplace (1749 - 1827), franz. Mathematiker, Physiker u. Astronom. </t>
    </r>
    <r>
      <rPr>
        <sz val="10"/>
        <color rgb="FFC00000"/>
        <rFont val="Arial"/>
        <family val="2"/>
      </rPr>
      <t>**)</t>
    </r>
    <r>
      <rPr>
        <sz val="10"/>
        <rFont val="Arial"/>
        <family val="2"/>
      </rPr>
      <t xml:space="preserve"> Henri Poincare (1854 - 1912), franz. Mathematiker, Physiker, Astronom u. Philosoph)</t>
    </r>
  </si>
  <si>
    <t>minimieren, kann ich den Ort selbst und folglich die Bewegung des Elektons aber nur ungenau (unscharf)</t>
  </si>
  <si>
    <t xml:space="preserve">"beleuchtet" habe. Nehme ich nun langwelliges Licht mit kleinerer Energie, um den Verdrängungseffekt zu </t>
  </si>
  <si>
    <t xml:space="preserve">Wellenlänge. Wegen der damit verbundenen hohen Energie des Lichts wird das Elektron aber aus seiner </t>
  </si>
  <si>
    <t xml:space="preserve">   Werner Heisenberg </t>
  </si>
  <si>
    <r>
      <t xml:space="preserve">Die Gleichungen der Heisenbergschen Unbestimmtheitsrelation bestätigen auch die </t>
    </r>
    <r>
      <rPr>
        <sz val="10"/>
        <color rgb="FF002060"/>
        <rFont val="Arial"/>
        <family val="2"/>
      </rPr>
      <t xml:space="preserve">Komplementarität vom </t>
    </r>
  </si>
  <si>
    <r>
      <rPr>
        <b/>
        <sz val="10"/>
        <color rgb="FF002060"/>
        <rFont val="Arial"/>
        <family val="2"/>
      </rPr>
      <t>Teilchen-Wellen-Bild</t>
    </r>
    <r>
      <rPr>
        <sz val="10"/>
        <color theme="1"/>
        <rFont val="Arial"/>
        <family val="2"/>
      </rPr>
      <t xml:space="preserve"> nach Luois de Brogli (siehe nächste Seite 13 "Dualismus Materie"). Werner Döring </t>
    </r>
  </si>
  <si>
    <t xml:space="preserve">Elektronen z. B. seien Teilchen, ist nur in soweit als richtig nachweisbar, als die Messergenisse nicht im </t>
  </si>
  <si>
    <t xml:space="preserve">(1911 - 2006), Prof. am 1. Theoretisch - Physikalischen Institut der Universität Hamburg: "Die Vorstellung,  </t>
  </si>
  <si>
    <t>Widersrpuch mit der Vorstellung sind Elektronen seien Wellen.</t>
  </si>
  <si>
    <r>
      <t xml:space="preserve"> So grenzt die Unbestimmtheitsrelation die Quantenwelt </t>
    </r>
    <r>
      <rPr>
        <b/>
        <sz val="10"/>
        <color rgb="FF002060"/>
        <rFont val="Arial"/>
        <family val="2"/>
      </rPr>
      <t>deutlich</t>
    </r>
    <r>
      <rPr>
        <sz val="10"/>
        <color rgb="FF002060"/>
        <rFont val="Arial"/>
        <family val="2"/>
      </rPr>
      <t xml:space="preserve"> von der gewohnten klassischen Welt ab!</t>
    </r>
  </si>
  <si>
    <r>
      <t xml:space="preserve">Die Annahme kleine Ursache </t>
    </r>
    <r>
      <rPr>
        <sz val="11"/>
        <rFont val="Calibri"/>
        <family val="2"/>
      </rPr>
      <t>→</t>
    </r>
    <r>
      <rPr>
        <sz val="11"/>
        <rFont val="Arial"/>
        <family val="2"/>
      </rPr>
      <t xml:space="preserve"> kleine Wirkung </t>
    </r>
    <r>
      <rPr>
        <b/>
        <sz val="11"/>
        <color rgb="FFC00000"/>
        <rFont val="Arial"/>
        <family val="2"/>
      </rPr>
      <t>gilt nicht</t>
    </r>
    <r>
      <rPr>
        <sz val="11"/>
        <rFont val="Arial"/>
        <family val="2"/>
      </rPr>
      <t>!</t>
    </r>
  </si>
  <si>
    <t>Wenn ein Planet die richtige Geschwindigkeit hat, kann er seinen Stern in jeder beliebigen Entfernung umkreisen.</t>
  </si>
  <si>
    <r>
      <t xml:space="preserve">Gleichungen reduziert auf vier Variable </t>
    </r>
    <r>
      <rPr>
        <sz val="11"/>
        <rFont val="Calibri"/>
        <family val="2"/>
      </rPr>
      <t>→</t>
    </r>
    <r>
      <rPr>
        <sz val="1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chaotisch!</t>
    </r>
    <r>
      <rPr>
        <sz val="11"/>
        <rFont val="Arial"/>
        <family val="2"/>
      </rPr>
      <t xml:space="preserve"> Schmetterling in Brasilien </t>
    </r>
    <r>
      <rPr>
        <sz val="11"/>
        <rFont val="Calibri"/>
        <family val="2"/>
      </rPr>
      <t>→</t>
    </r>
    <r>
      <rPr>
        <sz val="11"/>
        <rFont val="Arial"/>
        <family val="2"/>
      </rPr>
      <t xml:space="preserve"> Sturm in Europa! </t>
    </r>
  </si>
  <si>
    <r>
      <t xml:space="preserve">Genauigkeit ist keine Prognose möglich! Edward Lorenz, US-amerikanischer Mathematiker und Meteorologe (1917 - 2008) und Wegbereiter der </t>
    </r>
    <r>
      <rPr>
        <b/>
        <sz val="11"/>
        <rFont val="Arial"/>
        <family val="2"/>
      </rPr>
      <t>Chaostheorie</t>
    </r>
    <r>
      <rPr>
        <sz val="11"/>
        <rFont val="Arial"/>
        <family val="2"/>
      </rPr>
      <t>:</t>
    </r>
  </si>
  <si>
    <t>oder</t>
  </si>
  <si>
    <t>berechnen, siehe Seite 4 von 5</t>
  </si>
  <si>
    <r>
      <t xml:space="preserve">klassisch (nur </t>
    </r>
    <r>
      <rPr>
        <b/>
        <sz val="10"/>
        <color rgb="FFC00000"/>
        <rFont val="Arial"/>
        <family val="2"/>
      </rPr>
      <t>v &lt;&lt; c</t>
    </r>
    <r>
      <rPr>
        <b/>
        <sz val="10"/>
        <color rgb="FF002060"/>
        <rFont val="Arial"/>
        <family val="2"/>
      </rPr>
      <t>)  / relativistisch (</t>
    </r>
    <r>
      <rPr>
        <b/>
        <sz val="10"/>
        <color rgb="FFC00000"/>
        <rFont val="Arial"/>
        <family val="2"/>
      </rPr>
      <t>immer</t>
    </r>
    <r>
      <rPr>
        <b/>
        <sz val="10"/>
        <color rgb="FF002060"/>
        <rFont val="Arial"/>
        <family val="2"/>
      </rPr>
      <t xml:space="preserve">)      </t>
    </r>
  </si>
  <si>
    <r>
      <t xml:space="preserve">FWU Bildungsmedien  </t>
    </r>
    <r>
      <rPr>
        <u/>
        <sz val="11"/>
        <color rgb="FF0070C0"/>
        <rFont val="Calibri"/>
        <family val="2"/>
        <scheme val="minor"/>
      </rPr>
      <t>https://www.youtube.com/watch?v=KrgD7FmFUnE</t>
    </r>
    <r>
      <rPr>
        <sz val="11"/>
        <color rgb="FF0070C0"/>
        <rFont val="Calibri"/>
        <family val="2"/>
        <scheme val="minor"/>
      </rPr>
      <t xml:space="preserve">  2 min                   </t>
    </r>
  </si>
  <si>
    <t xml:space="preserve">Ein ICE ist l = 200 m lang und fährt mit der Geschwindigkeit v = 259628 km/s (0,8660255 c) </t>
  </si>
  <si>
    <t xml:space="preserve"> m/s </t>
  </si>
  <si>
    <t>tritt bei Relativbewegungen von Lichtquelle und Beobachter auf, analog zu Schall-</t>
  </si>
  <si>
    <t>Die Sonne wird immer heller, 1 % alle 110 Millionen Jahre (Zeit-online).</t>
  </si>
  <si>
    <t xml:space="preserve">3. Generation. Die Sonne ist eine Gaskugel und enthält 71,5 % Wasserstoff H, 27 % Helium He und  </t>
  </si>
  <si>
    <t>Himmels-</t>
  </si>
  <si>
    <t>körper</t>
  </si>
  <si>
    <t xml:space="preserve">                 Masse </t>
  </si>
  <si>
    <r>
      <t xml:space="preserve">Staub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Silikate, das sind Verbindungen von Si mit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und anderen Metallen.</t>
    </r>
  </si>
  <si>
    <r>
      <rPr>
        <b/>
        <sz val="11"/>
        <color rgb="FFC00000"/>
        <rFont val="Arial"/>
        <family val="2"/>
      </rPr>
      <t>*)</t>
    </r>
    <r>
      <rPr>
        <sz val="11"/>
        <color theme="1"/>
        <rFont val="Arial"/>
        <family val="2"/>
      </rPr>
      <t xml:space="preserve"> </t>
    </r>
  </si>
  <si>
    <t xml:space="preserve">entlang eines Bahndamms. Ein Beobachter am Bahndamm ("ruhendes" System S) und eine </t>
  </si>
  <si>
    <r>
      <t xml:space="preserve">am ruhenden Bahndamm um den Lorentz-Faktor </t>
    </r>
    <r>
      <rPr>
        <b/>
        <sz val="10"/>
        <color rgb="FF002060"/>
        <rFont val="Calibri"/>
        <family val="2"/>
      </rPr>
      <t>γ</t>
    </r>
    <r>
      <rPr>
        <b/>
        <sz val="10"/>
        <color rgb="FF002060"/>
        <rFont val="Arial"/>
        <family val="2"/>
      </rPr>
      <t xml:space="preserve"> = 2</t>
    </r>
    <r>
      <rPr>
        <sz val="10"/>
        <color rgb="FF002060"/>
        <rFont val="Arial"/>
        <family val="2"/>
      </rPr>
      <t xml:space="preserve"> schneller als die Uhr der Reisenden </t>
    </r>
  </si>
  <si>
    <t>Abstand zur Sonne (große Halbachse)</t>
  </si>
  <si>
    <t>In der Sonne selbst befindet sich 99,87 % der Masse des Sonnensystems.</t>
  </si>
  <si>
    <t xml:space="preserve">4,5 Milliarden Jahre vergehen. Aber ganz langsam steigt die Temperatur und in ca. 1,5 Mrd. Jahren </t>
  </si>
  <si>
    <t>Folge der beginnenden Expansionsphase der Sonne; sie wird alle 110 Millionen Jahre 1 % heller.</t>
  </si>
  <si>
    <t>1. Infinitesimal- oder Differentialrechnung,</t>
  </si>
  <si>
    <t>Trabant (Planet, Mond, ...):</t>
  </si>
  <si>
    <r>
      <t xml:space="preserve"> 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 xml:space="preserve"> L</t>
    </r>
    <r>
      <rPr>
        <vertAlign val="subscript"/>
        <sz val="11"/>
        <color theme="1"/>
        <rFont val="Arial"/>
        <family val="2"/>
      </rPr>
      <t>Sonne</t>
    </r>
  </si>
  <si>
    <r>
      <t xml:space="preserve"> 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 xml:space="preserve"> R</t>
    </r>
    <r>
      <rPr>
        <vertAlign val="subscript"/>
        <sz val="11"/>
        <color theme="1"/>
        <rFont val="Arial"/>
        <family val="2"/>
      </rPr>
      <t>Sonne</t>
    </r>
  </si>
  <si>
    <t xml:space="preserve">Die Lichtgeschwindigkeit hat in jedem Inertialsystem die gleiche </t>
  </si>
  <si>
    <t xml:space="preserve">1 m = </t>
  </si>
  <si>
    <t xml:space="preserve">das sich aus der klassischen Elektrodynamik herleitet und daher nur bei großen </t>
  </si>
  <si>
    <r>
      <t>t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 xml:space="preserve"> =</t>
    </r>
  </si>
  <si>
    <r>
      <t>w</t>
    </r>
    <r>
      <rPr>
        <vertAlign val="subscript"/>
        <sz val="11"/>
        <color theme="1"/>
        <rFont val="Arial"/>
        <family val="2"/>
      </rPr>
      <t>kl</t>
    </r>
    <r>
      <rPr>
        <sz val="11"/>
        <color theme="1"/>
        <rFont val="Arial"/>
        <family val="2"/>
      </rPr>
      <t xml:space="preserve"> = </t>
    </r>
  </si>
  <si>
    <r>
      <t>w</t>
    </r>
    <r>
      <rPr>
        <vertAlign val="subscript"/>
        <sz val="11"/>
        <color theme="1"/>
        <rFont val="Arial"/>
        <family val="2"/>
      </rPr>
      <t>rel</t>
    </r>
    <r>
      <rPr>
        <sz val="11"/>
        <color theme="1"/>
        <rFont val="Arial"/>
        <family val="2"/>
      </rPr>
      <t xml:space="preserve"> = </t>
    </r>
  </si>
  <si>
    <r>
      <t>m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= </t>
    </r>
  </si>
  <si>
    <t xml:space="preserve">r = </t>
  </si>
  <si>
    <r>
      <t>F</t>
    </r>
    <r>
      <rPr>
        <vertAlign val="subscript"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 xml:space="preserve"> =  </t>
    </r>
  </si>
  <si>
    <r>
      <t>m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=  </t>
    </r>
  </si>
  <si>
    <r>
      <t>R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</t>
    </r>
  </si>
  <si>
    <r>
      <t>V</t>
    </r>
    <r>
      <rPr>
        <vertAlign val="subscript"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 = </t>
    </r>
  </si>
  <si>
    <t xml:space="preserve"> m³</t>
  </si>
  <si>
    <t xml:space="preserve"> kg/m³</t>
  </si>
  <si>
    <r>
      <t>n</t>
    </r>
    <r>
      <rPr>
        <vertAlign val="subscript"/>
        <sz val="11"/>
        <color theme="1"/>
        <rFont val="Arial"/>
        <family val="2"/>
      </rPr>
      <t>Son</t>
    </r>
    <r>
      <rPr>
        <sz val="11"/>
        <color theme="1"/>
        <rFont val="Arial"/>
        <family val="2"/>
      </rPr>
      <t xml:space="preserve"> = </t>
    </r>
  </si>
  <si>
    <t xml:space="preserve">M1 = </t>
  </si>
  <si>
    <t xml:space="preserve">M2 = </t>
  </si>
  <si>
    <t xml:space="preserve"> a (Jahr)</t>
  </si>
  <si>
    <t xml:space="preserve"> d (Tag)</t>
  </si>
  <si>
    <r>
      <t>t</t>
    </r>
    <r>
      <rPr>
        <vertAlign val="subscript"/>
        <sz val="11"/>
        <color theme="1"/>
        <rFont val="Arial"/>
        <family val="2"/>
      </rPr>
      <t>U</t>
    </r>
    <r>
      <rPr>
        <sz val="11"/>
        <color theme="1"/>
        <rFont val="Arial"/>
        <family val="2"/>
      </rPr>
      <t xml:space="preserve"> = </t>
    </r>
  </si>
  <si>
    <t xml:space="preserve"> eV</t>
  </si>
  <si>
    <t xml:space="preserve"> Mpc</t>
  </si>
  <si>
    <r>
      <t xml:space="preserve"> kg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m/s</t>
    </r>
  </si>
  <si>
    <r>
      <t>kg</t>
    </r>
    <r>
      <rPr>
        <b/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od. J</t>
    </r>
  </si>
  <si>
    <r>
      <t xml:space="preserve"> W/m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;</t>
    </r>
    <r>
      <rPr>
        <vertAlign val="superscript"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J∙s/m</t>
    </r>
    <r>
      <rPr>
        <vertAlign val="superscript"/>
        <sz val="11"/>
        <color theme="1"/>
        <rFont val="Arial"/>
        <family val="2"/>
      </rPr>
      <t>4</t>
    </r>
  </si>
  <si>
    <r>
      <t xml:space="preserve"> m</t>
    </r>
    <r>
      <rPr>
        <vertAlign val="superscript"/>
        <sz val="11"/>
        <color theme="1"/>
        <rFont val="Arial"/>
        <family val="2"/>
      </rPr>
      <t>2</t>
    </r>
  </si>
  <si>
    <t xml:space="preserve"> W</t>
  </si>
  <si>
    <r>
      <t xml:space="preserve"> W</t>
    </r>
    <r>
      <rPr>
        <sz val="11"/>
        <color theme="1"/>
        <rFont val="Calibri"/>
        <family val="2"/>
      </rPr>
      <t>∙</t>
    </r>
    <r>
      <rPr>
        <sz val="11"/>
        <color theme="1"/>
        <rFont val="Arial"/>
        <family val="2"/>
      </rPr>
      <t>s</t>
    </r>
  </si>
  <si>
    <r>
      <t>γ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Arial"/>
        <family val="2"/>
      </rPr>
      <t xml:space="preserve">=  </t>
    </r>
  </si>
  <si>
    <t xml:space="preserve"> km/h</t>
  </si>
  <si>
    <t xml:space="preserve"> μs</t>
  </si>
  <si>
    <t xml:space="preserve"> Jahre</t>
  </si>
  <si>
    <t xml:space="preserve">→ </t>
  </si>
  <si>
    <r>
      <t xml:space="preserve"> u   </t>
    </r>
    <r>
      <rPr>
        <sz val="10"/>
        <color rgb="FF002060"/>
        <rFont val="Arial"/>
        <family val="2"/>
      </rPr>
      <t>(u = atomare Masseneinheit</t>
    </r>
  </si>
  <si>
    <r>
      <t xml:space="preserve"> u   </t>
    </r>
    <r>
      <rPr>
        <sz val="10"/>
        <color rgb="FF002060"/>
        <rFont val="Arial"/>
        <family val="2"/>
      </rPr>
      <t>unit,</t>
    </r>
    <r>
      <rPr>
        <sz val="11"/>
        <color rgb="FF002060"/>
        <rFont val="Arial"/>
        <family val="2"/>
      </rPr>
      <t xml:space="preserve"> </t>
    </r>
    <r>
      <rPr>
        <sz val="10"/>
        <color rgb="FF002060"/>
        <rFont val="Arial"/>
        <family val="2"/>
      </rPr>
      <t>siehe Phys. K. Seite 4)</t>
    </r>
  </si>
  <si>
    <t xml:space="preserve"> u   Massendefekt</t>
  </si>
  <si>
    <t xml:space="preserve"> kg pro He4-Molelül</t>
  </si>
  <si>
    <t>Die Leuchtkraft eines Sterns ist definiert als die gesamte pro Sekunde abgestrahlte Energie, d.h. die Strahlungsleistung [W ; J/s; …]. Sie kann berechnet werden</t>
  </si>
  <si>
    <r>
      <t>über die Solarkonstante. Als Solarkonstante bezeichnet man die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langjährig gemittelte extraterrestrische Bestrahlungsstärke (Intensität) der Sonne, die bei einem </t>
    </r>
  </si>
  <si>
    <r>
      <t>mittleren Abstand Erde-Sonne von 1 AE (149,6 Millionen km) ohne Einfluss der Atmosphäre</t>
    </r>
    <r>
      <rPr>
        <b/>
        <sz val="11"/>
        <color theme="1"/>
        <rFont val="Arial"/>
        <family val="2"/>
      </rPr>
      <t xml:space="preserve"> senkrecht</t>
    </r>
    <r>
      <rPr>
        <sz val="11"/>
        <color theme="1"/>
        <rFont val="Arial"/>
        <family val="2"/>
      </rPr>
      <t xml:space="preserve"> zur Strahlungsrichtung auf die Erde trifft. Die Leuchtkraft </t>
    </r>
  </si>
  <si>
    <t xml:space="preserve">der Sonne ist zwar nahezu konstant (Einfluss des elfjährigen Sonnenfleckenzyklus´ beträgt &lt; 0,1 %), aber der auf der Oberfläche der Erde ankommende, sprich </t>
  </si>
  <si>
    <r>
      <rPr>
        <b/>
        <sz val="11"/>
        <color theme="1"/>
        <rFont val="Arial"/>
        <family val="2"/>
      </rPr>
      <t>gemessene</t>
    </r>
    <r>
      <rPr>
        <sz val="11"/>
        <color theme="1"/>
        <rFont val="Arial"/>
        <family val="2"/>
      </rPr>
      <t>, Strahlungsstrom schwankt jedoch durch verschiedene Einflüsse (Bahnexzentrizität, bei klarem Wetter mehr Stahlung als bei Wolken, …).</t>
    </r>
  </si>
  <si>
    <t xml:space="preserve">In der Astronomie hat sich für die Angabe der Helligkeit, neben der physikalischen Größe "Strahlungsstrom", aufgrund von historischer Entwicklung (Ptolemäus), </t>
  </si>
  <si>
    <r>
      <t xml:space="preserve">Die Helligkeitsstufen sind logarithmisch (lg </t>
    </r>
    <r>
      <rPr>
        <sz val="11"/>
        <color theme="1"/>
        <rFont val="Calibri"/>
        <family val="2"/>
      </rPr>
      <t xml:space="preserve">→ </t>
    </r>
    <r>
      <rPr>
        <sz val="11"/>
        <color theme="1"/>
        <rFont val="Arial"/>
        <family val="2"/>
      </rPr>
      <t>Basis 10) aufgebaut.</t>
    </r>
  </si>
  <si>
    <t xml:space="preserve">lg r = </t>
  </si>
  <si>
    <t xml:space="preserve">Die Helligkeit einer Lichtquelle, wie sie von einem Beobachter wahrgenommen wird, ist die scheinbare Helligkeit. Sie hängt von der Strahlungsstärke und von </t>
  </si>
  <si>
    <r>
      <t xml:space="preserve">                                                               an der   Stelle</t>
    </r>
    <r>
      <rPr>
        <b/>
        <sz val="11"/>
        <color theme="1"/>
        <rFont val="Arial"/>
        <family val="2"/>
      </rPr>
      <t xml:space="preserve"> r</t>
    </r>
    <r>
      <rPr>
        <b/>
        <vertAlign val="subscript"/>
        <sz val="11"/>
        <color theme="1"/>
        <rFont val="Arial"/>
        <family val="2"/>
      </rPr>
      <t>1</t>
    </r>
  </si>
  <si>
    <r>
      <rPr>
        <sz val="11"/>
        <color theme="1"/>
        <rFont val="Arial"/>
        <family val="2"/>
      </rPr>
      <t>Stelle</t>
    </r>
    <r>
      <rPr>
        <b/>
        <sz val="11"/>
        <color theme="1"/>
        <rFont val="Arial"/>
        <family val="2"/>
      </rPr>
      <t xml:space="preserve"> r</t>
    </r>
    <r>
      <rPr>
        <b/>
        <vertAlign val="subscript"/>
        <sz val="11"/>
        <color theme="1"/>
        <rFont val="Arial"/>
        <family val="2"/>
      </rPr>
      <t>2</t>
    </r>
  </si>
  <si>
    <r>
      <t>Sind nun die Helligkeit (Strahlungsstrom S) und der Abstand an der Stelle r</t>
    </r>
    <r>
      <rPr>
        <b/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bekannt, dann kann bei </t>
    </r>
  </si>
  <si>
    <r>
      <t>bekannter Helligkeit an der Stelle r</t>
    </r>
    <r>
      <rPr>
        <b/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(Messwert) die Entfernung bis zu dieser Stelle bestimmt werden. </t>
    </r>
  </si>
  <si>
    <r>
      <rPr>
        <b/>
        <sz val="11"/>
        <color rgb="FF002060"/>
        <rFont val="Arial"/>
        <family val="2"/>
      </rPr>
      <t xml:space="preserve">(Sonne r = 1 AE </t>
    </r>
    <r>
      <rPr>
        <b/>
        <sz val="11"/>
        <color rgb="FF002060"/>
        <rFont val="Calibri"/>
        <family val="2"/>
      </rPr>
      <t>→</t>
    </r>
    <r>
      <rPr>
        <b/>
        <sz val="11"/>
        <color rgb="FF002060"/>
        <rFont val="Arial"/>
        <family val="2"/>
      </rPr>
      <t xml:space="preserve"> Solarkonstante S</t>
    </r>
    <r>
      <rPr>
        <b/>
        <vertAlign val="subscript"/>
        <sz val="11"/>
        <color rgb="FF002060"/>
        <rFont val="Arial"/>
        <family val="2"/>
      </rPr>
      <t>So</t>
    </r>
    <r>
      <rPr>
        <b/>
        <sz val="11"/>
        <color rgb="FF002060"/>
        <rFont val="Arial"/>
        <family val="2"/>
      </rPr>
      <t xml:space="preserve"> = 1367 W/m²)</t>
    </r>
  </si>
  <si>
    <t>Die absolute Helligkeit ist charakteristisch für einen Stern!</t>
  </si>
  <si>
    <t xml:space="preserve">auch noch das Maßsystem "Magnitude" (lat. Größe) erhalten. Dieses System basiert auf sechs Größenklassen. Sterne der Größe 1 sind die hellsten Sterne und </t>
  </si>
  <si>
    <t>Je größer der Zahlenwert ist, je leuchtschwächer ist das Objekt. Es gib auch negative Werte.</t>
  </si>
  <si>
    <t>handelt und es wird "mag" für Magnitude an den Zahlenwert angehängt.</t>
  </si>
  <si>
    <r>
      <rPr>
        <b/>
        <sz val="10"/>
        <color theme="9" tint="-0.499984740745262"/>
        <rFont val="Arial"/>
        <family val="2"/>
      </rPr>
      <t>**)</t>
    </r>
    <r>
      <rPr>
        <b/>
        <sz val="10"/>
        <color rgb="FF002060"/>
        <rFont val="Arial"/>
        <family val="2"/>
      </rPr>
      <t xml:space="preserve">  Das Beispiel zeigt auch: Prinzipiell kann man in die </t>
    </r>
  </si>
  <si>
    <t xml:space="preserve">      Zukunft reisen, nicht aber in die Vergangenheit!</t>
  </si>
  <si>
    <r>
      <rPr>
        <b/>
        <sz val="12"/>
        <color theme="1"/>
        <rFont val="Arial"/>
        <family val="2"/>
      </rPr>
      <t>Vorbemerkung:</t>
    </r>
    <r>
      <rPr>
        <sz val="12"/>
        <color theme="1"/>
        <rFont val="Arial"/>
        <family val="2"/>
      </rPr>
      <t xml:space="preserve"> Formeln sind die strenge Anwendung einer Syntax (System von Regeln, z. B. Sprache, Programmiersprache, …).</t>
    </r>
  </si>
  <si>
    <t xml:space="preserve"> "Diese Formeln gelten gegenüber einem Beobachter im Unendlichen, ohne eigene gravitative Raumzeitkrümmung. Während die relativistischen </t>
  </si>
  <si>
    <t xml:space="preserve">  die Beobachter über die relativen Wirkungen der Allgemeine Relativitätstheorie (ART) einig." </t>
  </si>
  <si>
    <t xml:space="preserve">  Wirkungen bei der Speziellen Relativitätstheorie (SRT) relativ sind und somit für den Beobachter aus seiner Sicht zu berechnen sind, sind sich </t>
  </si>
  <si>
    <r>
      <t xml:space="preserve"> da N = kg·m·s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entspricht.</t>
    </r>
  </si>
  <si>
    <r>
      <t xml:space="preserve">           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ein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ater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rklärt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ir </t>
    </r>
    <r>
      <rPr>
        <b/>
        <sz val="10"/>
        <rFont val="Arial"/>
        <family val="2"/>
      </rPr>
      <t>j</t>
    </r>
    <r>
      <rPr>
        <sz val="10"/>
        <rFont val="Arial"/>
        <family val="2"/>
      </rPr>
      <t xml:space="preserve">eden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onntag </t>
    </r>
    <r>
      <rPr>
        <b/>
        <sz val="10"/>
        <rFont val="Arial"/>
        <family val="2"/>
      </rPr>
      <t>u</t>
    </r>
    <r>
      <rPr>
        <sz val="10"/>
        <rFont val="Arial"/>
        <family val="2"/>
      </rPr>
      <t xml:space="preserve">nseren 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achthimmel.</t>
    </r>
  </si>
  <si>
    <t xml:space="preserve">             Größenverhältnisse sind korrekt dargestellt, Distanzen nicht.</t>
  </si>
  <si>
    <t>Johannes Kepler</t>
  </si>
  <si>
    <r>
      <t xml:space="preserve"> 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erkur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enus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rde </t>
    </r>
    <r>
      <rPr>
        <b/>
        <sz val="10"/>
        <rFont val="Arial"/>
        <family val="2"/>
      </rPr>
      <t>M</t>
    </r>
    <r>
      <rPr>
        <sz val="10"/>
        <rFont val="Arial"/>
        <family val="2"/>
      </rPr>
      <t>ars</t>
    </r>
    <r>
      <rPr>
        <b/>
        <sz val="10"/>
        <rFont val="Arial"/>
        <family val="2"/>
      </rPr>
      <t xml:space="preserve"> J</t>
    </r>
    <r>
      <rPr>
        <sz val="10"/>
        <rFont val="Arial"/>
        <family val="2"/>
      </rPr>
      <t xml:space="preserve">upiter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aturn </t>
    </r>
    <r>
      <rPr>
        <b/>
        <sz val="10"/>
        <rFont val="Arial"/>
        <family val="2"/>
      </rPr>
      <t>U</t>
    </r>
    <r>
      <rPr>
        <sz val="10"/>
        <rFont val="Arial"/>
        <family val="2"/>
      </rPr>
      <t xml:space="preserve">ranus </t>
    </r>
    <r>
      <rPr>
        <b/>
        <sz val="10"/>
        <rFont val="Arial"/>
        <family val="2"/>
      </rPr>
      <t>N</t>
    </r>
    <r>
      <rPr>
        <sz val="10"/>
        <rFont val="Arial"/>
        <family val="2"/>
      </rPr>
      <t>eptun</t>
    </r>
  </si>
  <si>
    <r>
      <t xml:space="preserve">   </t>
    </r>
    <r>
      <rPr>
        <b/>
        <sz val="9"/>
        <color theme="9" tint="-0.499984740745262"/>
        <rFont val="Arial"/>
        <family val="2"/>
      </rPr>
      <t xml:space="preserve">              </t>
    </r>
    <r>
      <rPr>
        <b/>
        <u/>
        <sz val="9"/>
        <color theme="9" tint="-0.499984740745262"/>
        <rFont val="Arial"/>
        <family val="2"/>
      </rPr>
      <t>Grafik: planeten.ch</t>
    </r>
    <r>
      <rPr>
        <b/>
        <sz val="9"/>
        <color theme="9" tint="-0.499984740745262"/>
        <rFont val="Arial"/>
        <family val="2"/>
      </rPr>
      <t xml:space="preserve">   </t>
    </r>
    <r>
      <rPr>
        <b/>
        <sz val="9"/>
        <color theme="9" tint="-0.499984740745262"/>
        <rFont val="Calibri"/>
        <family val="2"/>
      </rPr>
      <t>→</t>
    </r>
  </si>
  <si>
    <r>
      <t xml:space="preserve">Ursache ist vermutlich </t>
    </r>
    <r>
      <rPr>
        <b/>
        <sz val="10"/>
        <color rgb="FF002060"/>
        <rFont val="Arial"/>
        <family val="2"/>
      </rPr>
      <t>Dunkle Energie</t>
    </r>
    <r>
      <rPr>
        <sz val="10"/>
        <rFont val="Arial"/>
        <family val="2"/>
      </rPr>
      <t>,</t>
    </r>
    <r>
      <rPr>
        <sz val="10"/>
        <color rgb="FFC00000"/>
        <rFont val="Arial"/>
        <family val="2"/>
      </rPr>
      <t xml:space="preserve"> s. a. Text-Datei S. 61 ff</t>
    </r>
    <r>
      <rPr>
        <sz val="10"/>
        <color theme="1"/>
        <rFont val="Arial"/>
        <family val="2"/>
      </rPr>
      <t>.</t>
    </r>
  </si>
  <si>
    <r>
      <t xml:space="preserve">Es ist wohl </t>
    </r>
    <r>
      <rPr>
        <b/>
        <sz val="10"/>
        <color rgb="FF002060"/>
        <rFont val="Arial"/>
        <family val="2"/>
      </rPr>
      <t>kein</t>
    </r>
    <r>
      <rPr>
        <sz val="10"/>
        <color rgb="FF002060"/>
        <rFont val="Arial"/>
        <family val="2"/>
      </rPr>
      <t xml:space="preserve"> Zufall, dass für Erdbewohner*innen dieser Wellenlängenbereich sichtbar ist.</t>
    </r>
  </si>
  <si>
    <r>
      <t>k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= </t>
    </r>
  </si>
  <si>
    <t>Sender-Wellenlänge:</t>
  </si>
  <si>
    <t>Sender-Frequenz:</t>
  </si>
  <si>
    <t xml:space="preserve">Schwerefeld der Erde; präzise Vermessung mit Atomuhren. </t>
  </si>
  <si>
    <r>
      <t>Gravitaive</t>
    </r>
    <r>
      <rPr>
        <b/>
        <sz val="11"/>
        <color rgb="FFC00000"/>
        <rFont val="Arial"/>
        <family val="2"/>
      </rPr>
      <t xml:space="preserve"> Rot</t>
    </r>
    <r>
      <rPr>
        <b/>
        <sz val="11"/>
        <rFont val="Arial"/>
        <family val="2"/>
      </rPr>
      <t xml:space="preserve">- / </t>
    </r>
    <r>
      <rPr>
        <b/>
        <sz val="11"/>
        <color rgb="FF0070C0"/>
        <rFont val="Arial"/>
        <family val="2"/>
      </rPr>
      <t>Blau</t>
    </r>
    <r>
      <rPr>
        <b/>
        <sz val="11"/>
        <rFont val="Arial"/>
        <family val="2"/>
      </rPr>
      <t>-Verschiebung</t>
    </r>
  </si>
  <si>
    <r>
      <t xml:space="preserve">Kosmologische </t>
    </r>
    <r>
      <rPr>
        <b/>
        <sz val="11"/>
        <color rgb="FFC00000"/>
        <rFont val="Arial"/>
        <family val="2"/>
      </rPr>
      <t>Rot</t>
    </r>
    <r>
      <rPr>
        <b/>
        <sz val="11"/>
        <rFont val="Arial"/>
        <family val="2"/>
      </rPr>
      <t>-Verschiebung</t>
    </r>
  </si>
  <si>
    <r>
      <rPr>
        <b/>
        <u/>
        <sz val="9"/>
        <color theme="9" tint="-0.499984740745262"/>
        <rFont val="Arial"/>
        <family val="2"/>
      </rPr>
      <t>Grafik: comos-indirekt.de ...</t>
    </r>
    <r>
      <rPr>
        <sz val="9"/>
        <rFont val="Arial"/>
        <family val="2"/>
      </rPr>
      <t xml:space="preserve">                                                        </t>
    </r>
    <r>
      <rPr>
        <sz val="10"/>
        <rFont val="Arial"/>
        <family val="2"/>
      </rPr>
      <t>Empfänger-Frequenz:</t>
    </r>
  </si>
  <si>
    <t>Auch aus der Sonne wird ein Weißer Zwerg!</t>
  </si>
  <si>
    <r>
      <rPr>
        <b/>
        <sz val="9"/>
        <color theme="9" tint="-0.499984740745262"/>
        <rFont val="Calibri"/>
        <family val="2"/>
      </rPr>
      <t xml:space="preserve"> </t>
    </r>
    <r>
      <rPr>
        <b/>
        <u/>
        <sz val="9"/>
        <color theme="9" tint="-0.499984740745262"/>
        <rFont val="Arial"/>
        <family val="2"/>
      </rPr>
      <t>Grafik: www.blikk.it</t>
    </r>
  </si>
  <si>
    <r>
      <t>Frequenz und Wellenlänge elektromagnetischer Strahlung ändern sich auch im Gravitationsfeld (</t>
    </r>
    <r>
      <rPr>
        <sz val="10"/>
        <color rgb="FFC00000"/>
        <rFont val="Arial"/>
        <family val="2"/>
      </rPr>
      <t>siehe hierzu Text-Datei Seite 27 bis 29</t>
    </r>
    <r>
      <rPr>
        <sz val="10"/>
        <color rgb="FF000000"/>
        <rFont val="Arial"/>
        <family val="2"/>
      </rPr>
      <t>); demgemäß ändert sich auch die Zeit.</t>
    </r>
  </si>
  <si>
    <r>
      <t xml:space="preserve">Strahlung kleiner wird und ihre Wellenläge größer </t>
    </r>
    <r>
      <rPr>
        <b/>
        <sz val="10"/>
        <color theme="1"/>
        <rFont val="Calibri"/>
        <family val="2"/>
        <scheme val="minor"/>
      </rPr>
      <t>→</t>
    </r>
    <r>
      <rPr>
        <sz val="10"/>
        <color theme="1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Rotverschiebung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Calibri"/>
        <family val="2"/>
        <scheme val="minor"/>
      </rPr>
      <t>→</t>
    </r>
    <r>
      <rPr>
        <sz val="10"/>
        <color theme="1"/>
        <rFont val="Arial"/>
        <family val="2"/>
      </rPr>
      <t xml:space="preserve"> die Zeit vergeht langsamer (für den Beobachter fern des Gravitationszentrums).</t>
    </r>
  </si>
  <si>
    <r>
      <t>und die Wellenlänge wird kleiner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→</t>
    </r>
    <r>
      <rPr>
        <sz val="10"/>
        <color theme="1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Blauverschiebung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Calibri"/>
        <family val="2"/>
        <scheme val="minor"/>
      </rPr>
      <t>→</t>
    </r>
    <r>
      <rPr>
        <sz val="10"/>
        <color theme="1"/>
        <rFont val="Arial"/>
        <family val="2"/>
      </rPr>
      <t xml:space="preserve"> die Zeit vergeht schneller (für den Beobachter nah des Gravitationszentrums).</t>
    </r>
  </si>
  <si>
    <r>
      <t xml:space="preserve">Im "gravitationsfreien" Weltraum vergeht die Zeit am schnellsten. Aus Sicht der Erde läuft ein Vorgang dort um den </t>
    </r>
    <r>
      <rPr>
        <b/>
        <sz val="10"/>
        <color rgb="FF002060"/>
        <rFont val="Arial"/>
        <family val="2"/>
      </rPr>
      <t>Faktor 6,96·10</t>
    </r>
    <r>
      <rPr>
        <b/>
        <vertAlign val="superscript"/>
        <sz val="10"/>
        <color rgb="FF002060"/>
        <rFont val="Arial"/>
        <family val="2"/>
      </rPr>
      <t>-10</t>
    </r>
    <r>
      <rPr>
        <b/>
        <sz val="10"/>
        <color rgb="FF002060"/>
        <rFont val="Arial"/>
        <family val="2"/>
      </rPr>
      <t xml:space="preserve"> = 1,000000000696</t>
    </r>
    <r>
      <rPr>
        <sz val="10"/>
        <color rgb="FF002060"/>
        <rFont val="Arial"/>
        <family val="2"/>
      </rPr>
      <t xml:space="preserve"> schneller ab.</t>
    </r>
  </si>
  <si>
    <t xml:space="preserve">        im Jahr 1933</t>
  </si>
  <si>
    <t xml:space="preserve">                                       (1571 - 1630)</t>
  </si>
  <si>
    <r>
      <rPr>
        <b/>
        <sz val="10"/>
        <rFont val="Arial"/>
        <family val="2"/>
      </rPr>
      <t>Edwin Hubble (1889 - 1953)</t>
    </r>
    <r>
      <rPr>
        <sz val="10"/>
        <rFont val="Arial"/>
        <family val="2"/>
      </rPr>
      <t xml:space="preserve">                    Distanz Objekt (z. B. Galaxie) - Erde:</t>
    </r>
  </si>
  <si>
    <r>
      <t xml:space="preserve">       </t>
    </r>
    <r>
      <rPr>
        <b/>
        <sz val="10"/>
        <color theme="1"/>
        <rFont val="Arial"/>
        <family val="2"/>
      </rPr>
      <t xml:space="preserve"> (1901 - 1976)</t>
    </r>
  </si>
  <si>
    <t xml:space="preserve">                                             (1892 - 1987)</t>
  </si>
  <si>
    <t>Max Planck (1858 - 1949)</t>
  </si>
  <si>
    <r>
      <rPr>
        <b/>
        <sz val="14"/>
        <color theme="1"/>
        <rFont val="Calibri"/>
        <family val="2"/>
      </rPr>
      <t>ε</t>
    </r>
    <r>
      <rPr>
        <b/>
        <vertAlign val="subscript"/>
        <sz val="11"/>
        <color theme="1"/>
        <rFont val="Arial"/>
        <family val="2"/>
      </rPr>
      <t>0</t>
    </r>
  </si>
  <si>
    <r>
      <t>Für h = 35864 km beträgt t</t>
    </r>
    <r>
      <rPr>
        <vertAlign val="subscript"/>
        <sz val="10"/>
        <color rgb="FF002060"/>
        <rFont val="Arial"/>
        <family val="2"/>
      </rPr>
      <t>U</t>
    </r>
    <r>
      <rPr>
        <sz val="10"/>
        <color rgb="FF002060"/>
        <rFont val="Arial"/>
        <family val="2"/>
      </rPr>
      <t xml:space="preserve"> = 24 h.  Über dem Äquator ist dieser Bahnverlauf</t>
    </r>
    <r>
      <rPr>
        <b/>
        <sz val="10"/>
        <color rgb="FF002060"/>
        <rFont val="Arial"/>
        <family val="2"/>
      </rPr>
      <t xml:space="preserve"> geostationär</t>
    </r>
    <r>
      <rPr>
        <sz val="10"/>
        <color rgb="FF002060"/>
        <rFont val="Arial"/>
        <family val="2"/>
      </rPr>
      <t>.</t>
    </r>
  </si>
  <si>
    <r>
      <rPr>
        <b/>
        <sz val="11"/>
        <color theme="1"/>
        <rFont val="Arial"/>
        <family val="2"/>
      </rPr>
      <t>Masse:</t>
    </r>
    <r>
      <rPr>
        <sz val="11"/>
        <color theme="1"/>
        <rFont val="Arial"/>
        <family val="2"/>
      </rPr>
      <t xml:space="preserve">      0                /</t>
    </r>
    <r>
      <rPr>
        <b/>
        <sz val="11"/>
        <color theme="1"/>
        <rFont val="Arial"/>
        <family val="2"/>
      </rPr>
      <t xml:space="preserve">  Ladung: </t>
    </r>
    <r>
      <rPr>
        <sz val="11"/>
        <color theme="1"/>
        <rFont val="Arial"/>
        <family val="2"/>
      </rPr>
      <t xml:space="preserve">  0      /</t>
    </r>
    <r>
      <rPr>
        <b/>
        <sz val="11"/>
        <color theme="1"/>
        <rFont val="Arial"/>
        <family val="2"/>
      </rPr>
      <t xml:space="preserve">  Spin:</t>
    </r>
    <r>
      <rPr>
        <sz val="11"/>
        <color theme="1"/>
        <rFont val="Arial"/>
        <family val="2"/>
      </rPr>
      <t xml:space="preserve">  2  (</t>
    </r>
    <r>
      <rPr>
        <sz val="10"/>
        <color theme="1"/>
        <rFont val="Arial"/>
        <family val="2"/>
      </rPr>
      <t>Graviton ist nicht nachgewiesen</t>
    </r>
    <r>
      <rPr>
        <sz val="11"/>
        <color theme="1"/>
        <rFont val="Arial"/>
        <family val="2"/>
      </rPr>
      <t>)</t>
    </r>
  </si>
  <si>
    <t>komplette potentielle Energie in</t>
  </si>
  <si>
    <r>
      <t xml:space="preserve">Heisenberg war bei seinen Überlegungen zur </t>
    </r>
    <r>
      <rPr>
        <b/>
        <sz val="11"/>
        <color rgb="FF002060"/>
        <rFont val="Arial"/>
        <family val="2"/>
      </rPr>
      <t>Unbestimmheitsrelation</t>
    </r>
    <r>
      <rPr>
        <sz val="11"/>
        <color theme="1"/>
        <rFont val="Arial"/>
        <family val="2"/>
      </rPr>
      <t xml:space="preserve"> </t>
    </r>
    <r>
      <rPr>
        <sz val="11"/>
        <color rgb="FFC00000"/>
        <rFont val="Arial"/>
        <family val="2"/>
      </rPr>
      <t>(s. Sammelsurium S. 11/12)</t>
    </r>
    <r>
      <rPr>
        <sz val="11"/>
        <color theme="1"/>
        <rFont val="Arial"/>
        <family val="2"/>
      </rPr>
      <t xml:space="preserve"> zu der Einsicht gekommen, dass man sich ein Atom, wie es </t>
    </r>
  </si>
  <si>
    <r>
      <t xml:space="preserve">einer Schale finden maximal 2 </t>
    </r>
    <r>
      <rPr>
        <b/>
        <sz val="11"/>
        <color rgb="FF002060"/>
        <rFont val="Arial"/>
        <family val="2"/>
      </rPr>
      <t>·</t>
    </r>
    <r>
      <rPr>
        <sz val="11"/>
        <color rgb="FF002060"/>
        <rFont val="Arial"/>
        <family val="2"/>
      </rPr>
      <t xml:space="preserve"> n</t>
    </r>
    <r>
      <rPr>
        <vertAlign val="superscript"/>
        <sz val="11"/>
        <color rgb="FF002060"/>
        <rFont val="Arial"/>
        <family val="2"/>
      </rPr>
      <t>2</t>
    </r>
    <r>
      <rPr>
        <sz val="11"/>
        <color rgb="FF002060"/>
        <rFont val="Arial"/>
        <family val="2"/>
      </rPr>
      <t xml:space="preserve"> Elektronen Platz.</t>
    </r>
  </si>
  <si>
    <r>
      <t xml:space="preserve">sie sich durch irgend etwas unterscheiden </t>
    </r>
    <r>
      <rPr>
        <sz val="11"/>
        <color theme="1"/>
        <rFont val="Calibri"/>
        <family val="2"/>
        <scheme val="minor"/>
      </rPr>
      <t>→</t>
    </r>
    <r>
      <rPr>
        <sz val="11"/>
        <color theme="1"/>
        <rFont val="Arial"/>
        <family val="2"/>
      </rPr>
      <t xml:space="preserve"> unterschiedlicher Spin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↑↓</t>
    </r>
    <r>
      <rPr>
        <sz val="11"/>
        <color theme="1"/>
        <rFont val="Calibri"/>
        <family val="2"/>
      </rPr>
      <t>.</t>
    </r>
  </si>
  <si>
    <r>
      <t xml:space="preserve">Die Elektronen auf der äußeren Schalen nennt man </t>
    </r>
    <r>
      <rPr>
        <b/>
        <sz val="11"/>
        <color rgb="FF002060"/>
        <rFont val="Arial"/>
        <family val="2"/>
      </rPr>
      <t>Valenzelektronen</t>
    </r>
    <r>
      <rPr>
        <sz val="11"/>
        <color theme="1"/>
        <rFont val="Arial"/>
        <family val="2"/>
      </rPr>
      <t xml:space="preserve">. </t>
    </r>
    <r>
      <rPr>
        <b/>
        <sz val="11"/>
        <color theme="1"/>
        <rFont val="Arial"/>
        <family val="2"/>
      </rPr>
      <t xml:space="preserve">Nur durch </t>
    </r>
  </si>
  <si>
    <r>
      <rPr>
        <b/>
        <sz val="11"/>
        <color theme="1"/>
        <rFont val="Arial"/>
        <family val="2"/>
      </rPr>
      <t xml:space="preserve">sie sind die </t>
    </r>
    <r>
      <rPr>
        <b/>
        <sz val="11"/>
        <rFont val="Arial"/>
        <family val="2"/>
      </rPr>
      <t>chemischen Eigenschaften</t>
    </r>
    <r>
      <rPr>
        <b/>
        <sz val="11"/>
        <color theme="1"/>
        <rFont val="Arial"/>
        <family val="2"/>
      </rPr>
      <t xml:space="preserve"> festgelegt</t>
    </r>
    <r>
      <rPr>
        <sz val="11"/>
        <color theme="1"/>
        <rFont val="Arial"/>
        <family val="2"/>
      </rPr>
      <t xml:space="preserve">. </t>
    </r>
  </si>
  <si>
    <t xml:space="preserve">                                      </t>
  </si>
  <si>
    <t>Die Energie ist aufzubringen, um das H-Atom vom Grundzustand aus zu ionisieren:</t>
  </si>
  <si>
    <r>
      <t xml:space="preserve">Beschreibt den </t>
    </r>
    <r>
      <rPr>
        <b/>
        <sz val="11"/>
        <color rgb="FF002060"/>
        <rFont val="Arial"/>
        <family val="2"/>
      </rPr>
      <t xml:space="preserve">Bahndrehimpuls L </t>
    </r>
    <r>
      <rPr>
        <sz val="11"/>
        <color rgb="FF002060"/>
        <rFont val="Arial"/>
        <family val="2"/>
      </rPr>
      <t>des Elektrons u.</t>
    </r>
  </si>
  <si>
    <r>
      <t>Es können sich nie mehr als 2 Elektronen (e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 xml:space="preserve">) in einem Aufenthaltsbereich </t>
    </r>
  </si>
  <si>
    <t>(Orbital) aufhalten.</t>
  </si>
  <si>
    <t xml:space="preserve">Elektronen, die sich in einem Aufenthaltsbereich befinden, haben einen </t>
  </si>
  <si>
    <t xml:space="preserve">Die p-, d-, f-Orbitale werden zunächst einfach und dann unter Umkehrung </t>
  </si>
  <si>
    <t>des Spins doppelt besetzt.</t>
  </si>
  <si>
    <r>
      <t xml:space="preserve">Wenn sich zwei Elektronen in einem Aufenthaltsbereich befinden, </t>
    </r>
    <r>
      <rPr>
        <b/>
        <sz val="11"/>
        <color theme="1"/>
        <rFont val="Arial"/>
        <family val="2"/>
      </rPr>
      <t>müssen</t>
    </r>
    <r>
      <rPr>
        <sz val="11"/>
        <color theme="1"/>
        <rFont val="Arial"/>
        <family val="2"/>
      </rPr>
      <t xml:space="preserve">  </t>
    </r>
  </si>
  <si>
    <t xml:space="preserve">Bei der Kurve für T = 5270 K (ungefähr Sonne) liegt das Maximum der abgestrahlten Energie </t>
  </si>
  <si>
    <r>
      <t xml:space="preserve">bei </t>
    </r>
    <r>
      <rPr>
        <sz val="10"/>
        <color rgb="FF002060"/>
        <rFont val="Calibri"/>
        <family val="2"/>
      </rPr>
      <t xml:space="preserve">λ = 550 </t>
    </r>
    <r>
      <rPr>
        <sz val="10"/>
        <color rgb="FF002060"/>
        <rFont val="Arial"/>
        <family val="2"/>
      </rPr>
      <t>nm (siehe Grafik). Das ist die Mitte des sichtbares Spektrums von 400 bis 700 nm.</t>
    </r>
  </si>
  <si>
    <t>Effekte zur Allgemeinen Relativitätstheorie (ART)</t>
  </si>
  <si>
    <r>
      <t>E</t>
    </r>
    <r>
      <rPr>
        <vertAlign val="subscript"/>
        <sz val="11"/>
        <color theme="1"/>
        <rFont val="Arial"/>
        <family val="2"/>
      </rPr>
      <t>PL</t>
    </r>
    <r>
      <rPr>
        <sz val="11"/>
        <color theme="1"/>
        <rFont val="Arial"/>
        <family val="2"/>
      </rPr>
      <t xml:space="preserve"> = </t>
    </r>
  </si>
  <si>
    <r>
      <t>T</t>
    </r>
    <r>
      <rPr>
        <vertAlign val="subscript"/>
        <sz val="11"/>
        <rFont val="Arial"/>
        <family val="2"/>
      </rPr>
      <t>PL</t>
    </r>
    <r>
      <rPr>
        <sz val="11"/>
        <rFont val="Arial"/>
        <family val="2"/>
      </rPr>
      <t xml:space="preserve"> =   </t>
    </r>
  </si>
  <si>
    <r>
      <t xml:space="preserve"> kg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s</t>
    </r>
    <r>
      <rPr>
        <b/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[ J ]</t>
    </r>
  </si>
  <si>
    <t>Keine Länge, die kleiner ist als die Plancklänge, ist physikalisch relevant!</t>
  </si>
  <si>
    <t>Keine Zeit, die kleiner ist als die Planckzeit, ist physikalisch relevant!</t>
  </si>
  <si>
    <t xml:space="preserve">Aus der Planckenergie errechnet sich mit der Boltzmannkonstanten </t>
  </si>
  <si>
    <r>
      <rPr>
        <sz val="10"/>
        <rFont val="Arial"/>
        <family val="2"/>
      </rPr>
      <t xml:space="preserve">die </t>
    </r>
    <r>
      <rPr>
        <b/>
        <sz val="10"/>
        <color rgb="FF002060"/>
        <rFont val="Arial"/>
        <family val="2"/>
      </rPr>
      <t>Plancktemperatur:</t>
    </r>
  </si>
  <si>
    <t>Die Planckmasse multipliziert mit der Lichtgeschwindigkeit zum Quadrat ergibt</t>
  </si>
  <si>
    <r>
      <rPr>
        <sz val="10"/>
        <rFont val="Arial"/>
        <family val="2"/>
      </rPr>
      <t xml:space="preserve">die </t>
    </r>
    <r>
      <rPr>
        <b/>
        <sz val="10"/>
        <color rgb="FF002060"/>
        <rFont val="Arial"/>
        <family val="2"/>
      </rPr>
      <t>Planckenergie:</t>
    </r>
  </si>
  <si>
    <r>
      <t xml:space="preserve">Wellenpakets </t>
    </r>
    <r>
      <rPr>
        <b/>
        <sz val="10"/>
        <color theme="1"/>
        <rFont val="Arial"/>
        <family val="2"/>
      </rPr>
      <t>gleichzeitig</t>
    </r>
    <r>
      <rPr>
        <sz val="10"/>
        <color theme="1"/>
        <rFont val="Arial"/>
        <family val="2"/>
      </rPr>
      <t xml:space="preserve"> beliebig genau zu bestimmen. Ort und Impuls sind komplementäre, d. h. einander ergänzende, Messgrößen. So wird z. B. die Ortsbestimmung eines </t>
    </r>
  </si>
  <si>
    <r>
      <rPr>
        <sz val="9"/>
        <color rgb="FFC00000"/>
        <rFont val="Arial"/>
        <family val="2"/>
      </rPr>
      <t xml:space="preserve">                          </t>
    </r>
    <r>
      <rPr>
        <b/>
        <u/>
        <sz val="9"/>
        <color rgb="FFC00000"/>
        <rFont val="Arial"/>
        <family val="2"/>
      </rPr>
      <t>Grafik: wikipedia.org</t>
    </r>
  </si>
  <si>
    <r>
      <rPr>
        <b/>
        <sz val="9"/>
        <color theme="9" tint="-0.499984740745262"/>
        <rFont val="Arial"/>
        <family val="2"/>
      </rPr>
      <t xml:space="preserve">                           </t>
    </r>
    <r>
      <rPr>
        <b/>
        <u/>
        <sz val="9"/>
        <color theme="9" tint="-0.499984740745262"/>
        <rFont val="Arial"/>
        <family val="2"/>
      </rPr>
      <t>Grafik: Lernhelfer.de</t>
    </r>
  </si>
  <si>
    <r>
      <t xml:space="preserve">Schwerelosigkeikt ist nicht die Abwesenheit von Gravitation, sondern </t>
    </r>
    <r>
      <rPr>
        <b/>
        <sz val="10"/>
        <color rgb="FF002060"/>
        <rFont val="Arial"/>
        <family val="2"/>
      </rPr>
      <t>freies Fallen</t>
    </r>
    <r>
      <rPr>
        <sz val="10"/>
        <color rgb="FF002060"/>
        <rFont val="Arial"/>
        <family val="2"/>
      </rPr>
      <t>.</t>
    </r>
  </si>
  <si>
    <t>Betrachtung basiert auf diversen Beiträgen von Prof. Harald Lesch.</t>
  </si>
  <si>
    <t>Aus der Planckmasse und der Plancklänge (Radius einer Kugel) errechnet sich</t>
  </si>
  <si>
    <t xml:space="preserve">Lichtwellen (/-quanten), die sich auf ein Gravitationszentrum zubewegen, gewinnen Energie, weil sie von der Schwerkraft angezogen werden. Somit erhöht sich ihre Frequenz </t>
  </si>
  <si>
    <r>
      <rPr>
        <b/>
        <sz val="10"/>
        <color theme="1"/>
        <rFont val="Arial"/>
        <family val="2"/>
      </rPr>
      <t>Heisenbergsche Unbestimmtheitsrelation:</t>
    </r>
    <r>
      <rPr>
        <sz val="10"/>
        <color theme="1"/>
        <rFont val="Arial"/>
        <family val="2"/>
      </rPr>
      <t xml:space="preserve"> Ort (x) und Impuls (p = m •</t>
    </r>
    <r>
      <rPr>
        <vertAlign val="sub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v) eines</t>
    </r>
  </si>
  <si>
    <t>Je genauer die Ortsbestimmung passiert, um so ungenauer wird die Bestimmung</t>
  </si>
  <si>
    <t>Teilchens können nicht gleichzeitig beliebig genau festgelegt / gemessen werden.</t>
  </si>
  <si>
    <t xml:space="preserve">Die Plancksche Konstante h ist das Verhältnis der Energie E und der Frequenz f </t>
  </si>
  <si>
    <r>
      <t>Wann ist die Ortsunbestimmtheit (</t>
    </r>
    <r>
      <rPr>
        <b/>
        <sz val="10"/>
        <color rgb="FF002060"/>
        <rFont val="Calibri"/>
        <family val="2"/>
      </rPr>
      <t>Δx)</t>
    </r>
    <r>
      <rPr>
        <b/>
        <sz val="10"/>
        <color rgb="FF002060"/>
        <rFont val="Arial"/>
        <family val="2"/>
      </rPr>
      <t xml:space="preserve"> gleich dem Schwazschildradius (RS)?</t>
    </r>
  </si>
  <si>
    <t xml:space="preserve">Gravitationsgesetz </t>
  </si>
  <si>
    <r>
      <t xml:space="preserve">die Elektrische Feldkonstante </t>
    </r>
    <r>
      <rPr>
        <b/>
        <sz val="12"/>
        <rFont val="Calibri"/>
        <family val="2"/>
      </rPr>
      <t>ε</t>
    </r>
    <r>
      <rPr>
        <b/>
        <vertAlign val="subscript"/>
        <sz val="12"/>
        <rFont val="Arial"/>
        <family val="2"/>
      </rPr>
      <t>0</t>
    </r>
    <r>
      <rPr>
        <sz val="10"/>
        <rFont val="Arial"/>
        <family val="2"/>
      </rPr>
      <t xml:space="preserve"> und  </t>
    </r>
  </si>
  <si>
    <r>
      <t xml:space="preserve">die Magnetische Feldkonstante </t>
    </r>
    <r>
      <rPr>
        <b/>
        <sz val="12"/>
        <rFont val="Calibri"/>
        <family val="2"/>
      </rPr>
      <t>μ</t>
    </r>
    <r>
      <rPr>
        <b/>
        <vertAlign val="subscript"/>
        <sz val="12"/>
        <rFont val="Calibri"/>
        <family val="2"/>
      </rPr>
      <t>0</t>
    </r>
    <r>
      <rPr>
        <sz val="10"/>
        <rFont val="Calibri"/>
        <family val="2"/>
      </rPr>
      <t>.</t>
    </r>
  </si>
  <si>
    <t xml:space="preserve"> exponentiellem Wachstum beruhen, wie z. B. die Vermehrung von Bakterien.</t>
  </si>
  <si>
    <t xml:space="preserve">1,5 % alles andere (Favoriten: C, O, Si, N). Die Energieerzeugung erfolgt durch Kernfusion in ihrem </t>
  </si>
  <si>
    <t xml:space="preserve">noch relativ langsam (s. Seite 2) und haben daher ein langes "normales" Leben, wie auch die Sonne  </t>
  </si>
  <si>
    <t xml:space="preserve"> Ausbreitungsgeschwindigkeit elektromagnetischer Wellen, also auch von sichtbarem </t>
  </si>
  <si>
    <t xml:space="preserve"> Gleichungen (siehe hierzu auch Excel-Tab. Sammelsurium Seite 1).</t>
  </si>
  <si>
    <t xml:space="preserve"> Wurde von Planck eingeführt u. nach dem österr. Physiker Ludwig Boltzmann benannt, </t>
  </si>
  <si>
    <r>
      <t xml:space="preserve"> Boltzmann-Konstanten dieser Wert zugewiesen wurde und </t>
    </r>
    <r>
      <rPr>
        <b/>
        <sz val="11"/>
        <color theme="1"/>
        <rFont val="Arial"/>
        <family val="2"/>
      </rPr>
      <t>k</t>
    </r>
    <r>
      <rPr>
        <b/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deswegen exakt gilt.</t>
    </r>
  </si>
  <si>
    <t>Urknall-Theorie</t>
  </si>
  <si>
    <t>Prüfers vom</t>
  </si>
  <si>
    <t>Inspektion eines Schwarzen Lochs</t>
  </si>
  <si>
    <t xml:space="preserve"> einem Begründer der statistischen Mechanik; ihre Dimension ist Energie / Temperatur.</t>
  </si>
  <si>
    <r>
      <t xml:space="preserve"> Seit 2019 ist die Maßeinheit für die Temperatur </t>
    </r>
    <r>
      <rPr>
        <b/>
        <sz val="11"/>
        <color rgb="FF002060"/>
        <rFont val="Arial"/>
        <family val="2"/>
      </rPr>
      <t>"Kelvin"</t>
    </r>
    <r>
      <rPr>
        <sz val="11"/>
        <color theme="1"/>
        <rFont val="Arial"/>
        <family val="2"/>
      </rPr>
      <t xml:space="preserve"> dadurch definiert, dass der </t>
    </r>
  </si>
  <si>
    <r>
      <t xml:space="preserve"> Licht, im Vakuum. Die Lichtgeschwindigkeit </t>
    </r>
    <r>
      <rPr>
        <b/>
        <sz val="11"/>
        <color rgb="FF002060"/>
        <rFont val="Arial"/>
        <family val="2"/>
      </rPr>
      <t>c</t>
    </r>
    <r>
      <rPr>
        <sz val="11"/>
        <color theme="1"/>
        <rFont val="Arial"/>
        <family val="2"/>
      </rPr>
      <t xml:space="preserve"> ergibt sich zwingend aus den Maxwell-</t>
    </r>
  </si>
  <si>
    <t xml:space="preserve"> Luftdruck in Meereshöhe NN, international festgelegt als Druck einer 760 mm hohen </t>
  </si>
  <si>
    <t xml:space="preserve"> ungleichnamiger E-Mengen (Reibung, chem. Prozesse, Induktion, …).</t>
  </si>
  <si>
    <t xml:space="preserve"> Elektrische Ladungsmengen (-Q oder +Q) entstehen immer nur durch die Trennung </t>
  </si>
  <si>
    <t xml:space="preserve">Bezeichnung Himmelskörper: </t>
  </si>
  <si>
    <r>
      <t xml:space="preserve">        Steigung der Tangente zu </t>
    </r>
    <r>
      <rPr>
        <b/>
        <sz val="11"/>
        <rFont val="Arial"/>
        <family val="2"/>
      </rPr>
      <t xml:space="preserve">berechnen </t>
    </r>
    <r>
      <rPr>
        <sz val="11"/>
        <rFont val="Arial"/>
        <family val="2"/>
      </rPr>
      <t xml:space="preserve">und </t>
    </r>
    <r>
      <rPr>
        <b/>
        <sz val="11"/>
        <color rgb="FFC00000"/>
        <rFont val="Arial"/>
        <family val="2"/>
      </rPr>
      <t>nicht</t>
    </r>
    <r>
      <rPr>
        <sz val="11"/>
        <rFont val="Arial"/>
        <family val="2"/>
      </rPr>
      <t xml:space="preserve"> zu konstruieren!</t>
    </r>
  </si>
  <si>
    <t>bis in alle Ewigkeit.</t>
  </si>
  <si>
    <t xml:space="preserve">Prozentuale Zeitdilation bzw. Längenkontraktion: </t>
  </si>
  <si>
    <t>t´, l´ =</t>
  </si>
  <si>
    <t>"Relativ zum Beobachter bewegte Körper sind</t>
  </si>
  <si>
    <t>für ihn in Bewegungsrichtung verkürzt!"</t>
  </si>
  <si>
    <t xml:space="preserve">                                       "Relaitv zum Beobachter bewegte Uhren </t>
  </si>
  <si>
    <t xml:space="preserve">                                         Zeitdilatation</t>
  </si>
  <si>
    <t xml:space="preserve">                                       gehen für ihn langsamer°</t>
  </si>
  <si>
    <r>
      <t>1 kg</t>
    </r>
    <r>
      <rPr>
        <b/>
        <sz val="10"/>
        <color theme="1"/>
        <rFont val="Calibri"/>
        <family val="2"/>
      </rPr>
      <t>·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/s</t>
    </r>
    <r>
      <rPr>
        <vertAlign val="superscript"/>
        <sz val="10"/>
        <color theme="1"/>
        <rFont val="Arial"/>
        <family val="2"/>
      </rPr>
      <t>2</t>
    </r>
  </si>
  <si>
    <t xml:space="preserve">   →</t>
  </si>
  <si>
    <t xml:space="preserve"> Ihr Ort und ihre Eigenschaften existieren nicht unabhängig von der Beobachtung!</t>
  </si>
  <si>
    <t>Anmerkung</t>
  </si>
  <si>
    <t>Wichtige</t>
  </si>
  <si>
    <r>
      <t xml:space="preserve">Grafik: topserven.net  </t>
    </r>
    <r>
      <rPr>
        <b/>
        <u/>
        <sz val="9"/>
        <color rgb="FFC00000"/>
        <rFont val="Calibri"/>
        <family val="2"/>
      </rPr>
      <t>→</t>
    </r>
  </si>
  <si>
    <r>
      <t xml:space="preserve">  sind eigentlich </t>
    </r>
    <r>
      <rPr>
        <b/>
        <sz val="10"/>
        <color rgb="FF002060"/>
        <rFont val="Arial"/>
        <family val="2"/>
      </rPr>
      <t xml:space="preserve">keine </t>
    </r>
    <r>
      <rPr>
        <sz val="10"/>
        <color rgb="FF002060"/>
        <rFont val="Arial"/>
        <family val="2"/>
      </rPr>
      <t xml:space="preserve">teilchenartigen Objekte, sondern </t>
    </r>
  </si>
  <si>
    <t>https://www.youtube.com/watch?v=2PeIxDH3NCU    4 min</t>
  </si>
  <si>
    <t>https://www.youtube.com/watch?v=4zKwqdfuRz4    8 min</t>
  </si>
  <si>
    <t>https://www.youtube.com/watch?v=dCVkDkE8X3g     5 min</t>
  </si>
  <si>
    <t>https://www.youtube.com/watch?v=6kF9mwlIv78     4min</t>
  </si>
  <si>
    <t>https://www.youtube.com/watch?v=P1jMNiiOUW8     5 min</t>
  </si>
  <si>
    <t xml:space="preserve">Aus der Perspektive der ICE-Passagierin zeigt sich die Situation genau umgekehrt. Für sie </t>
  </si>
  <si>
    <t xml:space="preserve">und die Person selbst und alles drum herum, zeigt sich ihr in Fahrtrichtung ebenso um den </t>
  </si>
  <si>
    <r>
      <t>Faktor</t>
    </r>
    <r>
      <rPr>
        <b/>
        <sz val="10"/>
        <color rgb="FF002060"/>
        <rFont val="Arial"/>
        <family val="2"/>
      </rPr>
      <t xml:space="preserve"> γ = 2</t>
    </r>
    <r>
      <rPr>
        <sz val="10"/>
        <color rgb="FF002060"/>
        <rFont val="Arial"/>
        <family val="2"/>
      </rPr>
      <t xml:space="preserve"> gestaucht. Die Erklärung: </t>
    </r>
    <r>
      <rPr>
        <b/>
        <sz val="10"/>
        <color rgb="FF002060"/>
        <rFont val="Arial"/>
        <family val="2"/>
      </rPr>
      <t>Alle</t>
    </r>
    <r>
      <rPr>
        <sz val="10"/>
        <color rgb="FF002060"/>
        <rFont val="Arial"/>
        <family val="2"/>
      </rPr>
      <t xml:space="preserve"> Inertial-Systeme sind gleichberechtigt! So kann </t>
    </r>
  </si>
  <si>
    <r>
      <t xml:space="preserve">Die Person am Bahndamm sieht, dass auf der Uhr der Zugpassagierin die Zeit von </t>
    </r>
    <r>
      <rPr>
        <b/>
        <sz val="10"/>
        <color rgb="FF002060"/>
        <rFont val="Arial"/>
        <family val="2"/>
      </rPr>
      <t>t´ = 10 s</t>
    </r>
    <r>
      <rPr>
        <sz val="10"/>
        <color rgb="FF002060"/>
        <rFont val="Arial"/>
        <family val="2"/>
      </rPr>
      <t xml:space="preserve"> </t>
    </r>
  </si>
  <si>
    <r>
      <t xml:space="preserve">groß gegen die Masse </t>
    </r>
    <r>
      <rPr>
        <b/>
        <sz val="11"/>
        <rFont val="Arial"/>
        <family val="2"/>
      </rPr>
      <t>m</t>
    </r>
    <r>
      <rPr>
        <sz val="11"/>
        <rFont val="Arial"/>
        <family val="2"/>
      </rPr>
      <t xml:space="preserve"> des Trabanten; so kann die Schwerpunktbewegung des Systems vernachlässigt werden.</t>
    </r>
  </si>
  <si>
    <r>
      <t xml:space="preserve">Die Herleitung des Gravitationsgesetzes erfolgt unter den </t>
    </r>
    <r>
      <rPr>
        <b/>
        <sz val="11"/>
        <rFont val="Arial"/>
        <family val="2"/>
      </rPr>
      <t>Vereinfachungen:</t>
    </r>
    <r>
      <rPr>
        <sz val="11"/>
        <rFont val="Arial"/>
        <family val="2"/>
      </rPr>
      <t xml:space="preserve"> 1. Die Trabantenbahn ist eine Kreisbahn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2.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Die Masse des Zentralkörpers </t>
    </r>
    <r>
      <rPr>
        <b/>
        <sz val="11"/>
        <rFont val="Arial"/>
        <family val="2"/>
      </rPr>
      <t>M</t>
    </r>
    <r>
      <rPr>
        <sz val="11"/>
        <rFont val="Arial"/>
        <family val="2"/>
      </rPr>
      <t xml:space="preserve"> ist </t>
    </r>
  </si>
  <si>
    <t xml:space="preserve">     Anmerkung:</t>
  </si>
  <si>
    <t>Grafik: learnattack.de</t>
  </si>
  <si>
    <t xml:space="preserve">um die Erde hält. Und so müsste die Gravitaion dann auch bei den Planeten wirksam sein, die sich um die Sonne bewegen. </t>
  </si>
  <si>
    <t xml:space="preserve">Washington aus in einer Boing 747 zu einem Flug rund um die Erde, zunächst in Richtung Osten und vier Tage später nach Westen. Auch an </t>
  </si>
  <si>
    <t xml:space="preserve"> Für Myonen vergeht die Zeit wegen der hohen Geschwindigkeit langsamer als für uns auf der Erde. Wenn 33,42 μs Erdzeit vergangen sind, ist für Myonen eine</t>
  </si>
  <si>
    <t xml:space="preserve"> Zeitspanne von nur 2,11 μs abgelaufen, und die 10.000 m bis zur Erde verkürzen sich für sie auf 632,17 m. Ergo erreichen dennnoch einige von ihnen die Erde. </t>
  </si>
  <si>
    <t>"Mittlere" Geschwingkeit</t>
  </si>
  <si>
    <t xml:space="preserve">Beschleunigung a = </t>
  </si>
  <si>
    <t>a = 1,63 m/s²</t>
  </si>
  <si>
    <t>Mess-</t>
  </si>
  <si>
    <t>Intervall</t>
  </si>
  <si>
    <t>Zurückgelegte Weg</t>
  </si>
  <si>
    <r>
      <rPr>
        <b/>
        <sz val="9"/>
        <color theme="9" tint="-0.499984740745262"/>
        <rFont val="Arial"/>
        <family val="2"/>
      </rPr>
      <t xml:space="preserve">                         </t>
    </r>
    <r>
      <rPr>
        <b/>
        <u/>
        <sz val="9"/>
        <color theme="9" tint="-0.499984740745262"/>
        <rFont val="Arial"/>
        <family val="2"/>
      </rPr>
      <t>Grafik: elearning.physik.uni-frankfurt.de</t>
    </r>
  </si>
  <si>
    <r>
      <t>a = 9,81 m</t>
    </r>
    <r>
      <rPr>
        <sz val="10"/>
        <color rgb="FF002060"/>
        <rFont val="Arial"/>
        <family val="2"/>
      </rPr>
      <t>/s²</t>
    </r>
  </si>
  <si>
    <r>
      <rPr>
        <b/>
        <sz val="10"/>
        <rFont val="Arial"/>
        <family val="2"/>
      </rPr>
      <t>Δt</t>
    </r>
    <r>
      <rPr>
        <sz val="10"/>
        <rFont val="Arial"/>
        <family val="2"/>
      </rPr>
      <t xml:space="preserve"> [s]</t>
    </r>
  </si>
  <si>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[m]</t>
    </r>
  </si>
  <si>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[m/s]</t>
    </r>
  </si>
  <si>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[m/s²]</t>
    </r>
  </si>
  <si>
    <t>Geschwindigkeitszunahme</t>
  </si>
  <si>
    <t>(= Beschleunigung)</t>
  </si>
  <si>
    <t>Schräge wird gemessen</t>
  </si>
  <si>
    <t>der Kugel auf der</t>
  </si>
  <si>
    <t>"Wasseruhr"</t>
  </si>
  <si>
    <t>der Zeit propotional).</t>
  </si>
  <si>
    <t>den Gechwindigkeiten.</t>
  </si>
  <si>
    <r>
      <rPr>
        <b/>
        <sz val="10"/>
        <color rgb="FF002060"/>
        <rFont val="Arial"/>
        <family val="2"/>
      </rPr>
      <t>Δv = - 415 km/s</t>
    </r>
    <r>
      <rPr>
        <sz val="10"/>
        <color rgb="FF002060"/>
        <rFont val="Arial"/>
        <family val="2"/>
      </rPr>
      <t>. Die H</t>
    </r>
    <r>
      <rPr>
        <vertAlign val="subscript"/>
        <sz val="10"/>
        <color rgb="FF002060"/>
        <rFont val="Calibri"/>
        <family val="2"/>
      </rPr>
      <t>Alpha</t>
    </r>
    <r>
      <rPr>
        <sz val="10"/>
        <color rgb="FF002060"/>
        <rFont val="Arial"/>
        <family val="2"/>
      </rPr>
      <t xml:space="preserve"> - Linie des Wasserstoff-Atoms ist entsprechend verschoben von </t>
    </r>
    <r>
      <rPr>
        <b/>
        <sz val="10"/>
        <color rgb="FF002060"/>
        <rFont val="Arial"/>
        <family val="2"/>
      </rPr>
      <t/>
    </r>
  </si>
  <si>
    <r>
      <t xml:space="preserve">heliozentrische Radialgeschwindigkeit beträgt </t>
    </r>
    <r>
      <rPr>
        <b/>
        <sz val="10"/>
        <color rgb="FF002060"/>
        <rFont val="Arial"/>
        <family val="2"/>
      </rPr>
      <t>-300 km/s</t>
    </r>
    <r>
      <rPr>
        <sz val="10"/>
        <color rgb="FF002060"/>
        <rFont val="Arial"/>
        <family val="2"/>
      </rPr>
      <t xml:space="preserve">. Da sich die Sonne auf ihrer Bahn </t>
    </r>
  </si>
  <si>
    <r>
      <t xml:space="preserve">Andromeda-Galaxie und Milchstraße bewegen sich mit </t>
    </r>
    <r>
      <rPr>
        <b/>
        <sz val="10"/>
        <color rgb="FF002060"/>
        <rFont val="Arial"/>
        <family val="2"/>
      </rPr>
      <t>v = -115 km/s</t>
    </r>
    <r>
      <rPr>
        <sz val="10"/>
        <color rgb="FF002060"/>
        <rFont val="Arial"/>
        <family val="2"/>
      </rPr>
      <t xml:space="preserve"> aufeinander zu. Die </t>
    </r>
  </si>
  <si>
    <t>ums galaktrische Zentrum jetzt auf Andromeda zubewegt, beträgt die Relativgeschwindigkeit</t>
  </si>
  <si>
    <r>
      <rPr>
        <b/>
        <sz val="10"/>
        <color rgb="FF002060"/>
        <rFont val="Arial"/>
        <family val="2"/>
      </rPr>
      <t>λ</t>
    </r>
    <r>
      <rPr>
        <b/>
        <vertAlign val="subscript"/>
        <sz val="10"/>
        <color rgb="FF002060"/>
        <rFont val="Arial"/>
        <family val="2"/>
      </rPr>
      <t>S</t>
    </r>
    <r>
      <rPr>
        <b/>
        <sz val="10"/>
        <color rgb="FF002060"/>
        <rFont val="Arial"/>
        <family val="2"/>
      </rPr>
      <t xml:space="preserve"> = 656,278 nm</t>
    </r>
    <r>
      <rPr>
        <sz val="10"/>
        <color rgb="FF002060"/>
        <rFont val="Arial"/>
        <family val="2"/>
      </rPr>
      <t xml:space="preserve"> (Laborwert) hin zur kürzeren Wellenlänge</t>
    </r>
    <r>
      <rPr>
        <b/>
        <sz val="12"/>
        <color rgb="FF002060"/>
        <rFont val="Arial"/>
        <family val="2"/>
      </rPr>
      <t xml:space="preserve"> λ</t>
    </r>
    <r>
      <rPr>
        <b/>
        <vertAlign val="subscript"/>
        <sz val="10"/>
        <color rgb="FF002060"/>
        <rFont val="Arial"/>
        <family val="2"/>
      </rPr>
      <t>E</t>
    </r>
    <r>
      <rPr>
        <b/>
        <sz val="10"/>
        <color rgb="FF002060"/>
        <rFont val="Arial"/>
        <family val="2"/>
      </rPr>
      <t xml:space="preserve"> = 655,370</t>
    </r>
    <r>
      <rPr>
        <sz val="10"/>
        <color rgb="FF002060"/>
        <rFont val="Arial"/>
        <family val="2"/>
      </rPr>
      <t xml:space="preserve"> nm (Messwert).</t>
    </r>
  </si>
  <si>
    <t>Stellarium öffnen - mein PC-Link</t>
  </si>
  <si>
    <t>Online-Version von Stellarium</t>
  </si>
  <si>
    <t>Reisende im ICE ("bewegtes" System S´) sind mit gleichlaufenden Stoppuhren ausgestattet.</t>
  </si>
  <si>
    <t>Seit 1983 ist das die Definition für 1 Meter [m].</t>
  </si>
  <si>
    <r>
      <t>(Δp</t>
    </r>
    <r>
      <rPr>
        <vertAlign val="subscript"/>
        <sz val="10"/>
        <color rgb="FF002060"/>
        <rFont val="Arial"/>
        <family val="2"/>
      </rPr>
      <t xml:space="preserve"> </t>
    </r>
    <r>
      <rPr>
        <sz val="10"/>
        <color rgb="FF002060"/>
        <rFont val="Arial"/>
        <family val="2"/>
      </rPr>
      <t>• Δx = h/4</t>
    </r>
    <r>
      <rPr>
        <sz val="10"/>
        <color rgb="FF002060"/>
        <rFont val="Calibri"/>
        <family val="2"/>
      </rPr>
      <t>π</t>
    </r>
    <r>
      <rPr>
        <sz val="10"/>
        <color rgb="FF002060"/>
        <rFont val="Arial"/>
        <family val="2"/>
      </rPr>
      <t xml:space="preserve">). Für die Größenordnung ist aber das nicht relevant, siehe nächste </t>
    </r>
  </si>
  <si>
    <t>Seite: Youtube-Videos und die "Unschärferelation in der Handschrift Heisenbergs".</t>
  </si>
  <si>
    <r>
      <t xml:space="preserve">den kann, ist seine </t>
    </r>
    <r>
      <rPr>
        <b/>
        <sz val="11"/>
        <color theme="1"/>
        <rFont val="Arial"/>
        <family val="2"/>
      </rPr>
      <t>scheinbare</t>
    </r>
    <r>
      <rPr>
        <sz val="11"/>
        <color theme="1"/>
        <rFont val="Arial"/>
        <family val="2"/>
      </rPr>
      <t xml:space="preserve"> Helligkeit </t>
    </r>
    <r>
      <rPr>
        <b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. So kann ein heller Stern, der weit entfernt ist und ein naher Stern, der schwach leuchtet, einem Betrachter gleich </t>
    </r>
  </si>
  <si>
    <t>Die Werte haben keine Maßeinheit. Daran man erkennt, dass es sich um eine Größenklasse</t>
  </si>
  <si>
    <r>
      <t xml:space="preserve">u. messen, das aus dem (Wasserstoff-) Atom heraus kam </t>
    </r>
    <r>
      <rPr>
        <sz val="11"/>
        <color rgb="FFC00000"/>
        <rFont val="Arial"/>
        <family val="2"/>
      </rPr>
      <t>(s. S. 3)</t>
    </r>
    <r>
      <rPr>
        <sz val="11"/>
        <color theme="1"/>
        <rFont val="Arial"/>
        <family val="2"/>
      </rPr>
      <t xml:space="preserve">, nicht aber die Bahnen, die sich innerhalb des Atoms befinden sollten und zwischen denen das </t>
    </r>
  </si>
  <si>
    <t>Man kann die Gleichung auch umstellen:</t>
  </si>
  <si>
    <r>
      <rPr>
        <sz val="10"/>
        <color rgb="FF7030A0"/>
        <rFont val="Calibri"/>
        <family val="2"/>
        <scheme val="minor"/>
      </rPr>
      <t xml:space="preserve">Schwarzes Loch (Quaks)    </t>
    </r>
    <r>
      <rPr>
        <u/>
        <sz val="10"/>
        <color rgb="FF7030A0"/>
        <rFont val="Calibri"/>
        <family val="2"/>
        <scheme val="minor"/>
      </rPr>
      <t>https://www.youtube.com/watch?v=e4VoZBAagYo</t>
    </r>
    <r>
      <rPr>
        <sz val="10"/>
        <color rgb="FF7030A0"/>
        <rFont val="Calibri"/>
        <family val="2"/>
        <scheme val="minor"/>
      </rPr>
      <t xml:space="preserve">    4,2 min</t>
    </r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</si>
  <si>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</rPr>
      <t>·kg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·s</t>
    </r>
    <r>
      <rPr>
        <vertAlign val="superscript"/>
        <sz val="11"/>
        <color theme="1"/>
        <rFont val="Calibri"/>
        <family val="2"/>
      </rPr>
      <t>2</t>
    </r>
  </si>
  <si>
    <r>
      <t xml:space="preserve"> 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Arial"/>
        <family val="2"/>
      </rPr>
      <t>m</t>
    </r>
    <r>
      <rPr>
        <vertAlign val="superscript"/>
        <sz val="11"/>
        <color theme="1"/>
        <rFont val="Arial"/>
        <family val="2"/>
      </rPr>
      <t>-3</t>
    </r>
    <r>
      <rPr>
        <sz val="11"/>
        <color theme="1"/>
        <rFont val="Arial"/>
        <family val="2"/>
      </rPr>
      <t xml:space="preserve"> </t>
    </r>
  </si>
  <si>
    <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</rPr>
      <t xml:space="preserve">· </t>
    </r>
    <r>
      <rPr>
        <sz val="11"/>
        <color theme="1"/>
        <rFont val="Arial"/>
        <family val="2"/>
      </rPr>
      <t>s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 xml:space="preserve"> </t>
    </r>
  </si>
  <si>
    <t>Bahnradius Trabant:</t>
  </si>
  <si>
    <t>Umlaufgeschwindigkeit Trabant:</t>
  </si>
  <si>
    <r>
      <t xml:space="preserve">                                                                              Sonne m = 1,9891 · 10</t>
    </r>
    <r>
      <rPr>
        <b/>
        <vertAlign val="superscript"/>
        <sz val="10"/>
        <color rgb="FF002060"/>
        <rFont val="Arial"/>
        <family val="2"/>
      </rPr>
      <t>30</t>
    </r>
    <r>
      <rPr>
        <b/>
        <sz val="10"/>
        <color rgb="FF002060"/>
        <rFont val="Arial"/>
        <family val="2"/>
      </rPr>
      <t xml:space="preserve"> kg:</t>
    </r>
  </si>
  <si>
    <r>
      <rPr>
        <b/>
        <sz val="11"/>
        <color rgb="FF002060"/>
        <rFont val="Arial"/>
        <family val="2"/>
      </rPr>
      <t>Beispiele:</t>
    </r>
    <r>
      <rPr>
        <b/>
        <sz val="10"/>
        <color rgb="FF002060"/>
        <rFont val="Arial"/>
        <family val="2"/>
      </rPr>
      <t xml:space="preserve">        Sonne m = 1,9891 · 10</t>
    </r>
    <r>
      <rPr>
        <b/>
        <vertAlign val="superscript"/>
        <sz val="10"/>
        <color rgb="FF002060"/>
        <rFont val="Arial"/>
        <family val="2"/>
      </rPr>
      <t>30</t>
    </r>
    <r>
      <rPr>
        <b/>
        <sz val="10"/>
        <color rgb="FF002060"/>
        <rFont val="Arial"/>
        <family val="2"/>
      </rPr>
      <t xml:space="preserve"> kg:</t>
    </r>
  </si>
  <si>
    <r>
      <t xml:space="preserve"> </t>
    </r>
    <r>
      <rPr>
        <b/>
        <sz val="10"/>
        <color rgb="FF002060"/>
        <rFont val="Arial"/>
        <family val="2"/>
      </rPr>
      <t>Mond</t>
    </r>
    <r>
      <rPr>
        <sz val="10"/>
        <color rgb="FF002060"/>
        <rFont val="Arial"/>
        <family val="2"/>
      </rPr>
      <t xml:space="preserve">  T = 27,285 d / R = 3,834 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10</t>
    </r>
    <r>
      <rPr>
        <vertAlign val="superscript"/>
        <sz val="10"/>
        <color rgb="FF002060"/>
        <rFont val="Arial"/>
        <family val="2"/>
      </rPr>
      <t>8</t>
    </r>
    <r>
      <rPr>
        <sz val="10"/>
        <color rgb="FF002060"/>
        <rFont val="Arial"/>
        <family val="2"/>
      </rPr>
      <t xml:space="preserve"> m  ; </t>
    </r>
    <r>
      <rPr>
        <b/>
        <sz val="10"/>
        <color rgb="FF002060"/>
        <rFont val="Arial"/>
        <family val="2"/>
      </rPr>
      <t xml:space="preserve"> Satellit</t>
    </r>
    <r>
      <rPr>
        <sz val="10"/>
        <color rgb="FF002060"/>
        <rFont val="Arial"/>
        <family val="2"/>
      </rPr>
      <t xml:space="preserve"> (geost.) T = 1 d / 4,2241 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10</t>
    </r>
    <r>
      <rPr>
        <vertAlign val="superscript"/>
        <sz val="10"/>
        <color rgb="FF002060"/>
        <rFont val="Arial"/>
        <family val="2"/>
      </rPr>
      <t>7</t>
    </r>
    <r>
      <rPr>
        <sz val="10"/>
        <color rgb="FF002060"/>
        <rFont val="Arial"/>
        <family val="2"/>
      </rPr>
      <t xml:space="preserve"> m</t>
    </r>
  </si>
  <si>
    <r>
      <t xml:space="preserve">  </t>
    </r>
    <r>
      <rPr>
        <b/>
        <sz val="10"/>
        <color rgb="FF002060"/>
        <rFont val="Arial"/>
        <family val="2"/>
      </rPr>
      <t>Mond</t>
    </r>
    <r>
      <rPr>
        <sz val="10"/>
        <color rgb="FF002060"/>
        <rFont val="Arial"/>
        <family val="2"/>
      </rPr>
      <t xml:space="preserve">  T = 27,285 d / R = 3,834 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10</t>
    </r>
    <r>
      <rPr>
        <vertAlign val="superscript"/>
        <sz val="10"/>
        <color rgb="FF002060"/>
        <rFont val="Arial"/>
        <family val="2"/>
      </rPr>
      <t>8</t>
    </r>
    <r>
      <rPr>
        <sz val="10"/>
        <color rgb="FF002060"/>
        <rFont val="Arial"/>
        <family val="2"/>
      </rPr>
      <t xml:space="preserve"> m  ; </t>
    </r>
    <r>
      <rPr>
        <b/>
        <sz val="10"/>
        <color rgb="FF002060"/>
        <rFont val="Arial"/>
        <family val="2"/>
      </rPr>
      <t xml:space="preserve"> Satellit</t>
    </r>
    <r>
      <rPr>
        <sz val="10"/>
        <color rgb="FF002060"/>
        <rFont val="Arial"/>
        <family val="2"/>
      </rPr>
      <t xml:space="preserve"> (geost.) T = 1 d / 4,2241 </t>
    </r>
    <r>
      <rPr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10</t>
    </r>
    <r>
      <rPr>
        <vertAlign val="superscript"/>
        <sz val="10"/>
        <color rgb="FF002060"/>
        <rFont val="Arial"/>
        <family val="2"/>
      </rPr>
      <t>7</t>
    </r>
    <r>
      <rPr>
        <sz val="10"/>
        <color rgb="FF002060"/>
        <rFont val="Arial"/>
        <family val="2"/>
      </rPr>
      <t xml:space="preserve"> m</t>
    </r>
  </si>
  <si>
    <t>Gravitationskonstante berechnet:</t>
  </si>
  <si>
    <t xml:space="preserve"> auch leer gelassen werden.</t>
  </si>
  <si>
    <t>Hinweis:</t>
  </si>
  <si>
    <t>Die Eingabe-Zelle für den</t>
  </si>
  <si>
    <t xml:space="preserve">Beispiele für Eingabe-Werte siehe vorherige Seite 3. </t>
  </si>
  <si>
    <t>gesuchten Parameter kann</t>
  </si>
  <si>
    <r>
      <t xml:space="preserve">  </t>
    </r>
    <r>
      <rPr>
        <b/>
        <sz val="10"/>
        <color rgb="FF002060"/>
        <rFont val="Arial"/>
        <family val="2"/>
      </rPr>
      <t>Venus</t>
    </r>
    <r>
      <rPr>
        <sz val="10"/>
        <color rgb="FF002060"/>
        <rFont val="Arial"/>
        <family val="2"/>
      </rPr>
      <t xml:space="preserve"> T = 224,70 d / R = 1,082 · 10</t>
    </r>
    <r>
      <rPr>
        <vertAlign val="superscript"/>
        <sz val="10"/>
        <color rgb="FF002060"/>
        <rFont val="Arial"/>
        <family val="2"/>
      </rPr>
      <t>11</t>
    </r>
    <r>
      <rPr>
        <sz val="10"/>
        <color rgb="FF002060"/>
        <rFont val="Arial"/>
        <family val="2"/>
      </rPr>
      <t xml:space="preserve"> m  ; </t>
    </r>
    <r>
      <rPr>
        <b/>
        <sz val="10"/>
        <color rgb="FF002060"/>
        <rFont val="Arial"/>
        <family val="2"/>
      </rPr>
      <t xml:space="preserve"> Erde</t>
    </r>
    <r>
      <rPr>
        <sz val="10"/>
        <color rgb="FF002060"/>
        <rFont val="Arial"/>
        <family val="2"/>
      </rPr>
      <t xml:space="preserve"> T = 365,25 d / R = 1,4961 · 10</t>
    </r>
    <r>
      <rPr>
        <vertAlign val="superscript"/>
        <sz val="10"/>
        <color rgb="FF002060"/>
        <rFont val="Arial"/>
        <family val="2"/>
      </rPr>
      <t>11</t>
    </r>
    <r>
      <rPr>
        <sz val="10"/>
        <color rgb="FF002060"/>
        <rFont val="Arial"/>
        <family val="2"/>
      </rPr>
      <t xml:space="preserve"> m</t>
    </r>
  </si>
  <si>
    <r>
      <t xml:space="preserve"> </t>
    </r>
    <r>
      <rPr>
        <b/>
        <sz val="10"/>
        <color rgb="FF002060"/>
        <rFont val="Arial"/>
        <family val="2"/>
      </rPr>
      <t>Venus</t>
    </r>
    <r>
      <rPr>
        <sz val="10"/>
        <color rgb="FF002060"/>
        <rFont val="Arial"/>
        <family val="2"/>
      </rPr>
      <t xml:space="preserve"> T = 224,70 d / R = 1,082 · 10</t>
    </r>
    <r>
      <rPr>
        <vertAlign val="superscript"/>
        <sz val="10"/>
        <color rgb="FF002060"/>
        <rFont val="Arial"/>
        <family val="2"/>
      </rPr>
      <t>11</t>
    </r>
    <r>
      <rPr>
        <sz val="10"/>
        <color rgb="FF002060"/>
        <rFont val="Arial"/>
        <family val="2"/>
      </rPr>
      <t xml:space="preserve"> m  ; </t>
    </r>
    <r>
      <rPr>
        <b/>
        <sz val="10"/>
        <color rgb="FF002060"/>
        <rFont val="Arial"/>
        <family val="2"/>
      </rPr>
      <t xml:space="preserve"> Erde</t>
    </r>
    <r>
      <rPr>
        <sz val="10"/>
        <color rgb="FF002060"/>
        <rFont val="Arial"/>
        <family val="2"/>
      </rPr>
      <t xml:space="preserve"> T = 365,25 d / R = 1,4961 · 10</t>
    </r>
    <r>
      <rPr>
        <vertAlign val="superscript"/>
        <sz val="10"/>
        <color rgb="FF002060"/>
        <rFont val="Arial"/>
        <family val="2"/>
      </rPr>
      <t>11</t>
    </r>
    <r>
      <rPr>
        <sz val="10"/>
        <color rgb="FF002060"/>
        <rFont val="Arial"/>
        <family val="2"/>
      </rPr>
      <t xml:space="preserve"> m</t>
    </r>
  </si>
  <si>
    <t>Sonne / Venus</t>
  </si>
  <si>
    <r>
      <rPr>
        <b/>
        <sz val="11"/>
        <color rgb="FF002060"/>
        <rFont val="Arial"/>
        <family val="2"/>
      </rPr>
      <t>Anmerkung:</t>
    </r>
    <r>
      <rPr>
        <sz val="11"/>
        <color rgb="FF002060"/>
        <rFont val="Arial"/>
        <family val="2"/>
      </rPr>
      <t xml:space="preserve"> Die Formeln gelten strengenommen, neben der Kreisbahn, auch nur für Zweikörpersysteme. </t>
    </r>
  </si>
  <si>
    <t>Harmonischer Oszillator im All</t>
  </si>
  <si>
    <t>und hat daraus seine Gesetze hergeleitet.</t>
  </si>
  <si>
    <t xml:space="preserve">rüber eine akribische Datensammlung angelegt. Nach Brahes Tod gelangte Kepler an diesen Datenfundus </t>
  </si>
  <si>
    <t xml:space="preserve"> Maßeinheit der Masse, ist auf 1/12 der Masse des Kohlenstoff-Isotops C12 festgelegt.</t>
  </si>
  <si>
    <t xml:space="preserve">1 J = </t>
  </si>
  <si>
    <t>1 u</t>
  </si>
  <si>
    <r>
      <t xml:space="preserve">Umrechnung   u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kg</t>
    </r>
  </si>
  <si>
    <r>
      <t xml:space="preserve">Umrechnung   J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eV </t>
    </r>
  </si>
  <si>
    <r>
      <t xml:space="preserve">Umrechnung   eV </t>
    </r>
    <r>
      <rPr>
        <sz val="10"/>
        <rFont val="Calibri"/>
        <family val="2"/>
      </rPr>
      <t>→</t>
    </r>
    <r>
      <rPr>
        <sz val="10"/>
        <rFont val="Arial"/>
        <family val="2"/>
      </rPr>
      <t xml:space="preserve"> J</t>
    </r>
  </si>
  <si>
    <t>Gemessener Wert! u ist die Atomare Masseneinheit (engl. Unit), siehe unten.</t>
  </si>
  <si>
    <t>Gemessener Wert!</t>
  </si>
  <si>
    <t>(ist dem Quadrat</t>
  </si>
  <si>
    <t>zwischen den Wegen.</t>
  </si>
  <si>
    <r>
      <rPr>
        <sz val="11"/>
        <color rgb="FFFF0000"/>
        <rFont val="Arial"/>
        <family val="2"/>
      </rPr>
      <t xml:space="preserve">Gravitationskraft </t>
    </r>
    <r>
      <rPr>
        <b/>
        <sz val="11"/>
        <color rgb="FFFF0000"/>
        <rFont val="Arial"/>
        <family val="2"/>
      </rPr>
      <t>FG</t>
    </r>
    <r>
      <rPr>
        <sz val="1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=</t>
    </r>
    <r>
      <rPr>
        <sz val="11"/>
        <color rgb="FFFF0000"/>
        <rFont val="Arial"/>
        <family val="2"/>
      </rPr>
      <t xml:space="preserve"> Zentripetalkraft </t>
    </r>
    <r>
      <rPr>
        <b/>
        <sz val="11"/>
        <color rgb="FFFF0000"/>
        <rFont val="Arial"/>
        <family val="2"/>
      </rPr>
      <t>FZ</t>
    </r>
    <r>
      <rPr>
        <b/>
        <vertAlign val="subscript"/>
        <sz val="11"/>
        <color rgb="FFFF0000"/>
        <rFont val="Arial"/>
        <family val="2"/>
      </rPr>
      <t>P</t>
    </r>
    <r>
      <rPr>
        <b/>
        <sz val="11"/>
        <rFont val="Arial"/>
        <family val="2"/>
      </rPr>
      <t xml:space="preserve"> </t>
    </r>
  </si>
  <si>
    <t>Für die allgemeine Anziehung zweier Massen lautet das Gravitaionsgesetz</t>
  </si>
  <si>
    <t>Berechnung der Gravitationskonstanten G</t>
  </si>
  <si>
    <r>
      <t>Abweichung vom Messwert (</t>
    </r>
    <r>
      <rPr>
        <sz val="11"/>
        <color rgb="FFC00000"/>
        <rFont val="Arial"/>
        <family val="2"/>
      </rPr>
      <t>aufgrund der v. g. Vereinfachungen?</t>
    </r>
    <r>
      <rPr>
        <sz val="11"/>
        <color theme="1"/>
        <rFont val="Arial"/>
        <family val="2"/>
      </rPr>
      <t>):</t>
    </r>
  </si>
  <si>
    <t>Antworten:</t>
  </si>
  <si>
    <r>
      <rPr>
        <sz val="11"/>
        <color rgb="FF002060"/>
        <rFont val="Calibri"/>
        <family val="2"/>
      </rPr>
      <t>•</t>
    </r>
    <r>
      <rPr>
        <sz val="11"/>
        <color rgb="FF002060"/>
        <rFont val="Arial"/>
        <family val="2"/>
      </rPr>
      <t xml:space="preserve"> Nach welcher Zeit </t>
    </r>
    <r>
      <rPr>
        <b/>
        <sz val="11"/>
        <color rgb="FF002060"/>
        <rFont val="Arial"/>
        <family val="2"/>
      </rPr>
      <t>t</t>
    </r>
    <r>
      <rPr>
        <sz val="11"/>
        <color rgb="FF002060"/>
        <rFont val="Arial"/>
        <family val="2"/>
      </rPr>
      <t xml:space="preserve"> erreichen die Raumfahrer den Beobachter im Ziel gemäß dessen "ruhender" Uhr?</t>
    </r>
  </si>
  <si>
    <t>Geschwindigkeit</t>
  </si>
  <si>
    <t>Relativ-</t>
  </si>
  <si>
    <t>Beta-Wert</t>
  </si>
  <si>
    <r>
      <rPr>
        <sz val="11"/>
        <color rgb="FF002060"/>
        <rFont val="Calibri"/>
        <family val="2"/>
      </rPr>
      <t>•</t>
    </r>
    <r>
      <rPr>
        <sz val="11"/>
        <color rgb="FF002060"/>
        <rFont val="Arial"/>
        <family val="2"/>
      </rPr>
      <t xml:space="preserve"> Wie lang ist die zurückgelegte Distanz</t>
    </r>
    <r>
      <rPr>
        <b/>
        <sz val="11"/>
        <color rgb="FF002060"/>
        <rFont val="Arial"/>
        <family val="2"/>
      </rPr>
      <t xml:space="preserve"> l' </t>
    </r>
    <r>
      <rPr>
        <sz val="11"/>
        <color rgb="FF002060"/>
        <rFont val="Arial"/>
        <family val="2"/>
      </rPr>
      <t>für die "bewegten" Raumfahrer?</t>
    </r>
  </si>
  <si>
    <t>Distanz</t>
  </si>
  <si>
    <t>Raumstation</t>
  </si>
  <si>
    <r>
      <t xml:space="preserve">Raumschiff  v </t>
    </r>
    <r>
      <rPr>
        <b/>
        <sz val="11"/>
        <color rgb="FF002060"/>
        <rFont val="Calibri"/>
        <family val="2"/>
        <scheme val="minor"/>
      </rPr>
      <t>→</t>
    </r>
  </si>
  <si>
    <t>Körpergröße des Prüfers:</t>
  </si>
  <si>
    <t>Masse Prüfobjekt:</t>
  </si>
  <si>
    <t xml:space="preserve">*) </t>
  </si>
  <si>
    <r>
      <t xml:space="preserve">wird kleiner und Fequenz und somit Energie nehmen zu </t>
    </r>
    <r>
      <rPr>
        <b/>
        <sz val="11"/>
        <color rgb="FF0070C0"/>
        <rFont val="Calibri"/>
        <family val="2"/>
      </rPr>
      <t>→</t>
    </r>
    <r>
      <rPr>
        <b/>
        <sz val="11"/>
        <color rgb="FF0070C0"/>
        <rFont val="Arial"/>
        <family val="2"/>
      </rPr>
      <t xml:space="preserve"> gravitative Blauverschiebung</t>
    </r>
    <r>
      <rPr>
        <sz val="11"/>
        <color rgb="FF002060"/>
        <rFont val="Arial"/>
        <family val="2"/>
      </rPr>
      <t>.</t>
    </r>
  </si>
  <si>
    <t xml:space="preserve">einem schwarzen Loch nichts entkommen kann, nicht einmal Licht (abgesehen von der Hawking-Strahlung). Es geht im Grunde nur darum mal </t>
  </si>
  <si>
    <t xml:space="preserve">aufzuzeigen, wie die Prüf-Crew das Prüfgeschehen erleben würde, wenn ... </t>
  </si>
  <si>
    <t>Grüne</t>
  </si>
  <si>
    <t>konstante Größe und ist somit eine Naturkonstante.</t>
  </si>
  <si>
    <t xml:space="preserve">sieht man sehr schön, wie sich die Werte mit steigender Gravitation ändern und zwar um so gravierender, je näher man dem Schwarzen Loch kommt. </t>
  </si>
  <si>
    <t xml:space="preserve">   1798 benutzte Henry Cavendish so </t>
  </si>
  <si>
    <t xml:space="preserve">    eine Apparatur, um (als erster) die  </t>
  </si>
  <si>
    <t xml:space="preserve">    Dichte der Erde zu messen.</t>
  </si>
  <si>
    <r>
      <t xml:space="preserve">Wenn Δv = c (Lichtgeschwindigkeit) ist!            </t>
    </r>
    <r>
      <rPr>
        <b/>
        <sz val="10"/>
        <color rgb="FF002060"/>
        <rFont val="Calibri"/>
        <family val="2"/>
      </rPr>
      <t>→</t>
    </r>
  </si>
  <si>
    <t xml:space="preserve">            Mathematisch lautet die Beziehung:</t>
  </si>
  <si>
    <t>Gewichtskraft</t>
  </si>
  <si>
    <t>des</t>
  </si>
  <si>
    <t>Ablenkungs-</t>
  </si>
  <si>
    <t xml:space="preserve">winkel des </t>
  </si>
  <si>
    <t>Prüf-Lichtstrahls</t>
  </si>
  <si>
    <t>Stellt die Raketen-Crew fest, dass der auf das schwarze Loch gerichtete Lichtstrahl der Prüflampe immer stärker abgelenkt wird.</t>
  </si>
  <si>
    <r>
      <rPr>
        <b/>
        <sz val="11"/>
        <color rgb="FF002060"/>
        <rFont val="Arial"/>
        <family val="2"/>
      </rPr>
      <t xml:space="preserve">Fluchtgeschwindigkeit </t>
    </r>
    <r>
      <rPr>
        <sz val="10"/>
        <color rgb="FF002060"/>
        <rFont val="Arial"/>
        <family val="2"/>
      </rPr>
      <t>(Klassische Physik)</t>
    </r>
  </si>
  <si>
    <r>
      <rPr>
        <b/>
        <sz val="11"/>
        <color rgb="FF002060"/>
        <rFont val="Arial"/>
        <family val="2"/>
      </rPr>
      <t>Umlaufzeit / Umlaufgeschwindigkeit</t>
    </r>
    <r>
      <rPr>
        <b/>
        <sz val="10"/>
        <color rgb="FF002060"/>
        <rFont val="Arial"/>
        <family val="2"/>
      </rPr>
      <t xml:space="preserve"> </t>
    </r>
    <r>
      <rPr>
        <sz val="10"/>
        <color rgb="FF002060"/>
        <rFont val="Arial"/>
        <family val="2"/>
      </rPr>
      <t>um einen Zentralkörper ergeben sich</t>
    </r>
  </si>
  <si>
    <r>
      <rPr>
        <sz val="10"/>
        <color rgb="FF002060"/>
        <rFont val="Arial"/>
        <family val="2"/>
      </rPr>
      <t xml:space="preserve">aus dem </t>
    </r>
    <r>
      <rPr>
        <b/>
        <sz val="10"/>
        <color rgb="FF002060"/>
        <rFont val="Arial"/>
        <family val="2"/>
      </rPr>
      <t>Newtonschen Gravitaionsgesetz</t>
    </r>
    <r>
      <rPr>
        <sz val="10"/>
        <color theme="1"/>
        <rFont val="Arial"/>
        <family val="2"/>
      </rPr>
      <t xml:space="preserve"> und den </t>
    </r>
    <r>
      <rPr>
        <b/>
        <sz val="10"/>
        <color rgb="FF002060"/>
        <rFont val="Arial"/>
        <family val="2"/>
      </rPr>
      <t>Kepplerschen Gesetzen</t>
    </r>
    <r>
      <rPr>
        <b/>
        <sz val="10"/>
        <color theme="1"/>
        <rFont val="Arial"/>
        <family val="2"/>
      </rPr>
      <t xml:space="preserve">. </t>
    </r>
  </si>
  <si>
    <t xml:space="preserve"> Was Physikerinnen und Physiker generell nicht feststellen können, das existiert für sie nicht!</t>
  </si>
  <si>
    <r>
      <t xml:space="preserve">Vorläufer des Planckschen Strahlungsgesetzes ist das </t>
    </r>
    <r>
      <rPr>
        <b/>
        <sz val="10"/>
        <color rgb="FF002060"/>
        <rFont val="Arial"/>
        <family val="2"/>
      </rPr>
      <t>Rayleigh-Jeans-Gesetz</t>
    </r>
    <r>
      <rPr>
        <sz val="10"/>
        <color theme="1"/>
        <rFont val="Arial"/>
        <family val="2"/>
      </rPr>
      <t>,</t>
    </r>
  </si>
  <si>
    <r>
      <t xml:space="preserve"> (km/s)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>(1/Mpc)</t>
    </r>
  </si>
  <si>
    <t xml:space="preserve">Kollision Andromeda-Galaxie mit der Milchstraße (D = 100000 Lj), </t>
  </si>
  <si>
    <t xml:space="preserve">    geschieht in ca. 4 Mrd. Jahren und könnte sich so ereignen.</t>
  </si>
  <si>
    <t>Nur Eingaben kleiner c ergeben sinnvolle Ergebnisse.</t>
  </si>
  <si>
    <r>
      <t xml:space="preserve">aufeinander. Zwecks Energieerhaltung müssen </t>
    </r>
    <r>
      <rPr>
        <sz val="10"/>
        <color rgb="FF0070C0"/>
        <rFont val="Arial"/>
        <family val="2"/>
      </rPr>
      <t>elektrische</t>
    </r>
    <r>
      <rPr>
        <sz val="10"/>
        <rFont val="Arial"/>
        <family val="2"/>
      </rPr>
      <t xml:space="preserve"> u. </t>
    </r>
    <r>
      <rPr>
        <sz val="10"/>
        <color rgb="FFCC3300"/>
        <rFont val="Arial"/>
        <family val="2"/>
      </rPr>
      <t>magnetische</t>
    </r>
    <r>
      <rPr>
        <sz val="10"/>
        <rFont val="Arial"/>
        <family val="2"/>
      </rPr>
      <t xml:space="preserve"> Energiedichte </t>
    </r>
    <r>
      <rPr>
        <b/>
        <sz val="12"/>
        <rFont val="Calibri"/>
        <family val="2"/>
      </rPr>
      <t>σ</t>
    </r>
    <r>
      <rPr>
        <sz val="12"/>
        <rFont val="Calibri"/>
        <family val="2"/>
      </rPr>
      <t xml:space="preserve"> </t>
    </r>
  </si>
  <si>
    <r>
      <t xml:space="preserve"> kg∙m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∙s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 xml:space="preserve"> od. J∙s</t>
    </r>
  </si>
  <si>
    <t xml:space="preserve">        Albert Einstein   </t>
  </si>
  <si>
    <t xml:space="preserve">(14.03.1879 - 18.04.1955)     </t>
  </si>
  <si>
    <t xml:space="preserve"> Ls </t>
  </si>
  <si>
    <t xml:space="preserve">      Die Ausgangsgleichung kann auf unbekannte bzw. gesuchte Parameter umgestellt werden.</t>
  </si>
  <si>
    <r>
      <t xml:space="preserve">Das kreisende Elektron unterliegt einer Zentriepedal-Beschleunigung. </t>
    </r>
    <r>
      <rPr>
        <sz val="10"/>
        <color rgb="FFC00000"/>
        <rFont val="Arial"/>
        <family val="2"/>
      </rPr>
      <t xml:space="preserve">Beschleunigte </t>
    </r>
  </si>
  <si>
    <r>
      <rPr>
        <sz val="10"/>
        <color rgb="FFC00000"/>
        <rFont val="Arial"/>
        <family val="2"/>
      </rPr>
      <t>Ladungen erzeugen immer eletromagnetische Wellen</t>
    </r>
    <r>
      <rPr>
        <sz val="10"/>
        <color theme="1"/>
        <rFont val="Arial"/>
        <family val="2"/>
      </rPr>
      <t xml:space="preserve"> und somit müsste das Elektron </t>
    </r>
  </si>
  <si>
    <t xml:space="preserve"> % des Ausgangswertes</t>
  </si>
  <si>
    <t>Lichtgeschwindigkeit im Vakuum:</t>
  </si>
  <si>
    <r>
      <t>S</t>
    </r>
    <r>
      <rPr>
        <sz val="10"/>
        <color rgb="FF002060"/>
        <rFont val="Arial"/>
        <family val="2"/>
      </rPr>
      <t xml:space="preserve">ystème </t>
    </r>
    <r>
      <rPr>
        <b/>
        <sz val="10"/>
        <color rgb="FF002060"/>
        <rFont val="Arial"/>
        <family val="2"/>
      </rPr>
      <t>I</t>
    </r>
    <r>
      <rPr>
        <sz val="10"/>
        <color rgb="FF002060"/>
        <rFont val="Arial"/>
        <family val="2"/>
      </rPr>
      <t>nternational d' Unitès</t>
    </r>
  </si>
  <si>
    <r>
      <rPr>
        <b/>
        <sz val="10"/>
        <color rgb="FF002060"/>
        <rFont val="Arial"/>
        <family val="2"/>
      </rPr>
      <t xml:space="preserve"> SI</t>
    </r>
    <r>
      <rPr>
        <sz val="10"/>
        <color rgb="FF002060"/>
        <rFont val="Arial"/>
        <family val="2"/>
      </rPr>
      <t>-Basiseinheit</t>
    </r>
    <r>
      <rPr>
        <sz val="10"/>
        <color rgb="FF002060"/>
        <rFont val="Arial"/>
        <family val="2"/>
      </rPr>
      <t xml:space="preserve"> für die Länge:</t>
    </r>
  </si>
  <si>
    <t xml:space="preserve"> →</t>
  </si>
  <si>
    <t>Erste Entfernungsbestimmung nach dieser Methode 1838</t>
  </si>
  <si>
    <t>durch Friedrich Wilhelm Bessel (1784 - 1846) Stern 61Cygni</t>
  </si>
  <si>
    <t xml:space="preserve">James Clerk Maxwell           </t>
  </si>
  <si>
    <t xml:space="preserve"> (1831 - 1879)                 </t>
  </si>
  <si>
    <t xml:space="preserve"> Bestimmt die Stärke der Gravitation von Massen nach dem Gravitationsgesetz von </t>
  </si>
  <si>
    <t xml:space="preserve"> Newton bzw. die Stärke der Krümmung der Raumzeit nach der Allgemeinen  </t>
  </si>
  <si>
    <r>
      <t xml:space="preserve"> Relativitätstheorie von Einstein.</t>
    </r>
    <r>
      <rPr>
        <sz val="11"/>
        <color rgb="FFC00000"/>
        <rFont val="Arial"/>
        <family val="2"/>
      </rPr>
      <t xml:space="preserve"> Siehe Tab. Kepler und Newton Seite 3 v. 5.</t>
    </r>
  </si>
  <si>
    <t>↓</t>
  </si>
  <si>
    <r>
      <t xml:space="preserve">Zuvor war das </t>
    </r>
    <r>
      <rPr>
        <b/>
        <sz val="10"/>
        <color rgb="FF002060"/>
        <rFont val="Arial"/>
        <family val="2"/>
      </rPr>
      <t>Ur-Meter</t>
    </r>
    <r>
      <rPr>
        <sz val="10"/>
        <color rgb="FF002060"/>
        <rFont val="Arial"/>
        <family val="2"/>
      </rPr>
      <t xml:space="preserve"> bei Paris verbindlich,</t>
    </r>
  </si>
  <si>
    <r>
      <t xml:space="preserve">hier als Modell mit dem </t>
    </r>
    <r>
      <rPr>
        <b/>
        <sz val="10"/>
        <color rgb="FF002060"/>
        <rFont val="Arial"/>
        <family val="2"/>
      </rPr>
      <t>Ur-Kilogramm</t>
    </r>
    <r>
      <rPr>
        <sz val="10"/>
        <color rgb="FF002060"/>
        <rFont val="Arial"/>
        <family val="2"/>
      </rPr>
      <t xml:space="preserve"> dargestellt.</t>
    </r>
  </si>
  <si>
    <t>Entstehung und Entwicklung der Sonne</t>
  </si>
  <si>
    <t>Mit der Astromischen Einheit lassen sich Entfernungen innerhalb des Sonnensystems gut veranschaulichen.</t>
  </si>
  <si>
    <t>Die Erde ist 1 AE = 150 Millionen km von der Sonne entfernt, Venus 0,7, Mars 1,5 usw. Der nächstgelegene</t>
  </si>
  <si>
    <t>https://www.youtube.com/watch?v=HLFO6PEm5gQ</t>
  </si>
  <si>
    <t>Warum? H. Lesch, 8 min</t>
  </si>
  <si>
    <t>Das Sonnensystem ist flach.</t>
  </si>
  <si>
    <r>
      <t xml:space="preserve">Unser Zuhause im Weltall      </t>
    </r>
    <r>
      <rPr>
        <u/>
        <sz val="10"/>
        <color rgb="FF7030A0"/>
        <rFont val="Calibri"/>
        <family val="2"/>
        <scheme val="minor"/>
      </rPr>
      <t>https://www.youtube.com/watch?v=F8WBMhnJogk</t>
    </r>
    <r>
      <rPr>
        <sz val="10"/>
        <color rgb="FF7030A0"/>
        <rFont val="Calibri"/>
        <family val="2"/>
        <scheme val="minor"/>
      </rPr>
      <t xml:space="preserve">     3,5 min</t>
    </r>
  </si>
  <si>
    <r>
      <rPr>
        <sz val="10"/>
        <color rgb="FF0070C0"/>
        <rFont val="Calibri"/>
        <family val="2"/>
      </rPr>
      <t xml:space="preserve">Gravitationsfelder    </t>
    </r>
    <r>
      <rPr>
        <u/>
        <sz val="10"/>
        <color rgb="FF0070C0"/>
        <rFont val="Calibri"/>
        <family val="2"/>
      </rPr>
      <t>https://www.youtube.com/watch?v=fkCtO1aakhY</t>
    </r>
    <r>
      <rPr>
        <sz val="10"/>
        <color rgb="FF0070C0"/>
        <rFont val="Calibri"/>
        <family val="2"/>
      </rPr>
      <t xml:space="preserve">     7 min</t>
    </r>
  </si>
  <si>
    <t>sind die häufigsten Sterne in der Milchstraße und auch die kleinsten und</t>
  </si>
  <si>
    <r>
      <t xml:space="preserve">kältesten. Sie sind der Spektralklasse </t>
    </r>
    <r>
      <rPr>
        <b/>
        <sz val="11"/>
        <color rgb="FFFFC000"/>
        <rFont val="Arial"/>
        <family val="2"/>
      </rPr>
      <t>K</t>
    </r>
    <r>
      <rPr>
        <sz val="11"/>
        <color theme="1"/>
        <rFont val="Arial"/>
        <family val="2"/>
      </rPr>
      <t xml:space="preserve"> und </t>
    </r>
    <r>
      <rPr>
        <b/>
        <sz val="11"/>
        <color rgb="FFFF0000"/>
        <rFont val="Arial"/>
        <family val="2"/>
      </rPr>
      <t>M</t>
    </r>
    <r>
      <rPr>
        <sz val="11"/>
        <color theme="1"/>
        <rFont val="Arial"/>
        <family val="2"/>
      </rPr>
      <t xml:space="preserve"> zugeordnet. Ihre Masse:  </t>
    </r>
  </si>
  <si>
    <t>0,08* bis 0,6 Sonnenmassen. Wegen der geringen Masse findet wenig</t>
  </si>
  <si>
    <t>Wasserstoff-Fusion zu Helium statt, weshalb der H - Vorrat lange reicht.</t>
  </si>
  <si>
    <t xml:space="preserve">Je nach Masse des Sterns ergeben sich verschiedene Entwicklungen für </t>
  </si>
  <si>
    <t xml:space="preserve">ihn. Die Masse ist bestimmend dafür, wieviel Energie im Zentrum erzeugt </t>
  </si>
  <si>
    <t xml:space="preserve">wird und deshalb auch, wie schnell der Vorrat an Wasserstoff verbraucht </t>
  </si>
  <si>
    <t>Leben als Hauptreihenstern gemäß dem</t>
  </si>
  <si>
    <t xml:space="preserve">und der Stern kollabiert durch die Gravitation und beendet das "normale" </t>
  </si>
  <si>
    <r>
      <t xml:space="preserve">Crab-Nebel aus einer Supernova </t>
    </r>
    <r>
      <rPr>
        <sz val="11"/>
        <color theme="9" tint="-0.499984740745262"/>
        <rFont val="Calibri"/>
        <family val="2"/>
      </rPr>
      <t>→</t>
    </r>
  </si>
  <si>
    <r>
      <rPr>
        <sz val="11"/>
        <color rgb="FF7030A0"/>
        <rFont val="Calibri"/>
        <family val="2"/>
      </rPr>
      <t xml:space="preserve">Was passiert wenn Sterne sterben?     </t>
    </r>
    <r>
      <rPr>
        <u/>
        <sz val="11"/>
        <color rgb="FF7030A0"/>
        <rFont val="Calibri"/>
        <family val="2"/>
      </rPr>
      <t>https://www.youtube.com/watch?v=-IRGN7Q62rs</t>
    </r>
    <r>
      <rPr>
        <sz val="11"/>
        <color rgb="FF7030A0"/>
        <rFont val="Calibri"/>
        <family val="2"/>
      </rPr>
      <t xml:space="preserve">     7 min</t>
    </r>
  </si>
  <si>
    <t>Die Sonne ist an ihrer Oberfläche ca. 5500 °C heiß, die</t>
  </si>
  <si>
    <t>Sonnen-Korona größer eine Million °C. Warum ist noch unklar.</t>
  </si>
  <si>
    <t xml:space="preserve">Mehr als 60 % der Sterne existieren als </t>
  </si>
  <si>
    <t>Doppel-/Mehrfach-Sternsysteme.</t>
  </si>
  <si>
    <t xml:space="preserve">der Gewichtkraft über den Raketenschub ausgleichen und die Person an der Seilwinde die Bremskraft an der Seilsicherung ständig anpassen. </t>
  </si>
  <si>
    <t xml:space="preserve">Nimmt die Gravitation mehr und mehr zu, der Prüfer wird immer schwerer (Fahrkorb und Seil seien masselos) und der Pilot muss die Zunahme </t>
  </si>
  <si>
    <t>Zum Ende steigt die Schwerkraft enorm, so dass das Seil doch reißt und der Prüfer geht, unter Spaghettisierung, im schwarzen Loch verloren.</t>
  </si>
  <si>
    <t xml:space="preserve">Beoachtet die Crew von der Rakete aus, dass das zuvor weiße Licht der Prüflampe nach und nach rötlicher und dunkler wird. Die Wellenlänge </t>
  </si>
  <si>
    <t>Distanz des</t>
  </si>
  <si>
    <r>
      <t xml:space="preserve">des Prüf-Lichts nimmt zu, Frequerz und somit Ernergie nehmen ab </t>
    </r>
    <r>
      <rPr>
        <b/>
        <sz val="11"/>
        <color rgb="FFFF0000"/>
        <rFont val="Calibri"/>
        <family val="2"/>
      </rPr>
      <t>→</t>
    </r>
    <r>
      <rPr>
        <b/>
        <sz val="11"/>
        <color rgb="FFFF0000"/>
        <rFont val="Arial"/>
        <family val="2"/>
      </rPr>
      <t xml:space="preserve"> gravitative Rotverschiebung</t>
    </r>
    <r>
      <rPr>
        <sz val="11"/>
        <color rgb="FF002060"/>
        <rFont val="Arial"/>
        <family val="2"/>
      </rPr>
      <t xml:space="preserve">. </t>
    </r>
  </si>
  <si>
    <t xml:space="preserve"> ursprünglichen Radius des Prüfobjekts. </t>
  </si>
  <si>
    <r>
      <t xml:space="preserve">Dieses von Werner Heisenberg 1927 formulierte Unbestimmtheitsprinzip besagt, dass es prinzipiell </t>
    </r>
    <r>
      <rPr>
        <b/>
        <sz val="10"/>
        <color theme="1"/>
        <rFont val="Arial"/>
        <family val="2"/>
      </rPr>
      <t>unmöglich</t>
    </r>
    <r>
      <rPr>
        <sz val="10"/>
        <color theme="1"/>
        <rFont val="Arial"/>
        <family val="2"/>
      </rPr>
      <t xml:space="preserve"> ist, den</t>
    </r>
    <r>
      <rPr>
        <b/>
        <sz val="10"/>
        <color theme="1"/>
        <rFont val="Arial"/>
        <family val="2"/>
      </rPr>
      <t xml:space="preserve"> Ort </t>
    </r>
    <r>
      <rPr>
        <sz val="10"/>
        <color theme="1"/>
        <rFont val="Arial"/>
        <family val="2"/>
      </rPr>
      <t xml:space="preserve">(x) </t>
    </r>
    <r>
      <rPr>
        <b/>
        <sz val="10"/>
        <color theme="1"/>
        <rFont val="Arial"/>
        <family val="2"/>
      </rPr>
      <t>und</t>
    </r>
    <r>
      <rPr>
        <sz val="10"/>
        <color theme="1"/>
        <rFont val="Arial"/>
        <family val="2"/>
      </rPr>
      <t xml:space="preserve"> den </t>
    </r>
    <r>
      <rPr>
        <b/>
        <sz val="10"/>
        <color theme="1"/>
        <rFont val="Arial"/>
        <family val="2"/>
      </rPr>
      <t>Impuls</t>
    </r>
    <r>
      <rPr>
        <sz val="10"/>
        <color theme="1"/>
        <rFont val="Arial"/>
        <family val="2"/>
      </rPr>
      <t xml:space="preserve"> (p = m · v) eines Teilchens oder</t>
    </r>
  </si>
  <si>
    <t xml:space="preserve"> (flüssig, gasförmig, fest) eines Stoffes, hier Wasser, </t>
  </si>
  <si>
    <t xml:space="preserve"> Ist der Zustand, beschrieben durch den Druck und</t>
  </si>
  <si>
    <t xml:space="preserve"> die Temperatur, bei dem sich die Aggreagtzustände </t>
  </si>
  <si>
    <t xml:space="preserve"> Der Druck ist mit 6,1166 mbar sehr klein.</t>
  </si>
  <si>
    <t>statistischen Mechanik anwandte, obwohl er einst nicht an Atome geglaubt hatte.</t>
  </si>
  <si>
    <r>
      <rPr>
        <b/>
        <sz val="10"/>
        <rFont val="Arial"/>
        <family val="2"/>
      </rPr>
      <t>Tycho Brahe</t>
    </r>
    <r>
      <rPr>
        <sz val="10"/>
        <rFont val="Arial"/>
        <family val="2"/>
      </rPr>
      <t xml:space="preserve"> (1546 - 1601), dänsicher Astronom, hatte nachts am Himmel die Gestirne beoachtet und da-</t>
    </r>
  </si>
  <si>
    <t xml:space="preserve">Vergeht die Zeit für den Prüfer immer langsamer. Er merkt davon nichts, sieht aber, wie seine Kollegen immer hektischer agieren. Die Kollegen </t>
  </si>
  <si>
    <t>wiederum beobachten, dass der Prüfer immer träger wird und als er dem Ereignishorizont nah kommt, werden sie abgelöst und gehen in Rente.</t>
  </si>
  <si>
    <r>
      <t>Schwarzen Loch durchzuführen. Das Prüfobjekt hat zufällig so viel Masse wie die Erde</t>
    </r>
    <r>
      <rPr>
        <sz val="11"/>
        <color rgb="FFC00000"/>
        <rFont val="Arial"/>
        <family val="2"/>
      </rPr>
      <t>*</t>
    </r>
    <r>
      <rPr>
        <sz val="11"/>
        <rFont val="Arial"/>
        <family val="2"/>
      </rPr>
      <t xml:space="preserve">: </t>
    </r>
    <r>
      <rPr>
        <sz val="11"/>
        <color rgb="FF002060"/>
        <rFont val="Arial"/>
        <family val="2"/>
      </rPr>
      <t>M = 5,972·10</t>
    </r>
    <r>
      <rPr>
        <vertAlign val="superscript"/>
        <sz val="11"/>
        <color rgb="FF002060"/>
        <rFont val="Arial"/>
        <family val="2"/>
      </rPr>
      <t>24</t>
    </r>
    <r>
      <rPr>
        <sz val="11"/>
        <color rgb="FF002060"/>
        <rFont val="Arial"/>
        <family val="2"/>
      </rPr>
      <t xml:space="preserve"> kg. Die Prüf-Crew reist per Rakete an </t>
    </r>
  </si>
  <si>
    <t xml:space="preserve">mit einer Taschenlampe besichtigt werden kann. Bereits hier sei angemerkt, dass es für den Prüfer auch vor Ort nichts zu sehen gibt, weil von </t>
  </si>
  <si>
    <t xml:space="preserve">doppelte Erd-Radius. Aus dieser Distanz lässt die Crew den Prüfer in einem Fahrkorb mit Seil zum Prüfobjekt hin ab, so dass es aus der Nähe </t>
  </si>
  <si>
    <t xml:space="preserve">und der Pilot positioniert diese im Abstand D = 12.746.000 Meter vom Zentrum des schwarzen Lochs entfernt; der Abstand ist so groß wie der </t>
  </si>
  <si>
    <t xml:space="preserve">Spalte </t>
  </si>
  <si>
    <t xml:space="preserve">Lichtwellen (/-quanten), die sich von einem Gravitationszentrum entfernen, verlieren Energie, weil sie die Schwerkraft überwinden müssen. Dies bewirkt, dass die Frequenz der </t>
  </si>
  <si>
    <t xml:space="preserve"> *</t>
  </si>
  <si>
    <r>
      <t xml:space="preserve"> </t>
    </r>
    <r>
      <rPr>
        <b/>
        <sz val="11"/>
        <color rgb="FFC00000"/>
        <rFont val="Arial"/>
        <family val="2"/>
      </rPr>
      <t>*</t>
    </r>
  </si>
  <si>
    <t xml:space="preserve">   Unschärferelation in der Handschrift Heisenbergs</t>
  </si>
  <si>
    <t>Eine Lichtwelle, die die Plancklänge durchläuft, definiert eine Zeit:</t>
  </si>
  <si>
    <r>
      <rPr>
        <b/>
        <sz val="10"/>
        <color rgb="FF002060"/>
        <rFont val="Arial"/>
        <family val="2"/>
      </rPr>
      <t>Herleitung:</t>
    </r>
    <r>
      <rPr>
        <sz val="10"/>
        <rFont val="Arial"/>
        <family val="2"/>
      </rPr>
      <t xml:space="preserve"> Will ich wissen wo (Ort) sich z. B. ein Elektron befindet, so beleuchte ich es mit Licht kleiner </t>
    </r>
  </si>
  <si>
    <r>
      <t xml:space="preserve">von Newton </t>
    </r>
    <r>
      <rPr>
        <sz val="10"/>
        <color theme="1"/>
        <rFont val="Calibri"/>
        <family val="2"/>
      </rPr>
      <t>→</t>
    </r>
    <r>
      <rPr>
        <sz val="10"/>
        <color theme="1"/>
        <rFont val="Arial"/>
        <family val="2"/>
      </rPr>
      <t xml:space="preserve"> klassische Physik</t>
    </r>
  </si>
  <si>
    <r>
      <t xml:space="preserve">  Erde: m</t>
    </r>
    <r>
      <rPr>
        <vertAlign val="subscript"/>
        <sz val="10"/>
        <color rgb="FF002060"/>
        <rFont val="Arial"/>
        <family val="2"/>
      </rPr>
      <t>1</t>
    </r>
    <r>
      <rPr>
        <sz val="10"/>
        <color rgb="FF002060"/>
        <rFont val="Arial"/>
        <family val="2"/>
      </rPr>
      <t xml:space="preserve"> = 5,972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24</t>
    </r>
    <r>
      <rPr>
        <sz val="10"/>
        <color rgb="FF002060"/>
        <rFont val="Arial"/>
        <family val="2"/>
      </rPr>
      <t xml:space="preserve"> kg / Mensch: m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= 100 kg / Radius Erde r = 6373 km</t>
    </r>
  </si>
  <si>
    <r>
      <t xml:space="preserve"> Mond: m</t>
    </r>
    <r>
      <rPr>
        <vertAlign val="subscript"/>
        <sz val="10"/>
        <color rgb="FF002060"/>
        <rFont val="Arial"/>
        <family val="2"/>
      </rPr>
      <t>1</t>
    </r>
    <r>
      <rPr>
        <sz val="10"/>
        <color rgb="FF002060"/>
        <rFont val="Arial"/>
        <family val="2"/>
      </rPr>
      <t xml:space="preserve"> = 7,349</t>
    </r>
    <r>
      <rPr>
        <sz val="10"/>
        <color rgb="FF002060"/>
        <rFont val="Calibri"/>
        <family val="2"/>
      </rPr>
      <t>∙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22</t>
    </r>
    <r>
      <rPr>
        <sz val="10"/>
        <color rgb="FF002060"/>
        <rFont val="Arial"/>
        <family val="2"/>
      </rPr>
      <t xml:space="preserve"> kg / Mensch: m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= 100 kg / Radius Mond r = 1737 km </t>
    </r>
  </si>
  <si>
    <r>
      <t xml:space="preserve">                       oder      </t>
    </r>
    <r>
      <rPr>
        <b/>
        <sz val="11"/>
        <color rgb="FF002060"/>
        <rFont val="Arial"/>
        <family val="2"/>
      </rPr>
      <t>Was ist die Planckwelt?</t>
    </r>
    <r>
      <rPr>
        <b/>
        <sz val="11"/>
        <rFont val="Arial"/>
        <family val="2"/>
      </rPr>
      <t xml:space="preserve">      </t>
    </r>
    <r>
      <rPr>
        <b/>
        <sz val="11"/>
        <rFont val="Calibri"/>
        <family val="2"/>
        <scheme val="minor"/>
      </rPr>
      <t>→</t>
    </r>
    <r>
      <rPr>
        <b/>
        <sz val="11"/>
        <rFont val="Arial"/>
        <family val="2"/>
      </rPr>
      <t xml:space="preserve">      </t>
    </r>
    <r>
      <rPr>
        <sz val="11"/>
        <rFont val="Arial"/>
        <family val="2"/>
      </rPr>
      <t>Vorbemerkung:</t>
    </r>
  </si>
  <si>
    <t xml:space="preserve">             Elementar-Teilchen</t>
  </si>
  <si>
    <r>
      <t>*)</t>
    </r>
    <r>
      <rPr>
        <sz val="10"/>
        <color rgb="FFC00000"/>
        <rFont val="Arial"/>
        <family val="2"/>
      </rPr>
      <t xml:space="preserve"> Von dieser Geburt hat allerdings keiner was gemerkt, nicht mal Planck selbst.</t>
    </r>
  </si>
  <si>
    <r>
      <t xml:space="preserve">liegende Seite der Oberfläche führt (siehe Grafik). Die </t>
    </r>
    <r>
      <rPr>
        <b/>
        <sz val="11"/>
        <color rgb="FFC00000"/>
        <rFont val="Arial"/>
        <family val="2"/>
      </rPr>
      <t>Masse</t>
    </r>
    <r>
      <rPr>
        <sz val="11"/>
        <color rgb="FF002060"/>
        <rFont val="Arial"/>
        <family val="2"/>
      </rPr>
      <t xml:space="preserve"> des Himmelkörpers sei </t>
    </r>
    <r>
      <rPr>
        <b/>
        <sz val="11"/>
        <color rgb="FFC00000"/>
        <rFont val="Arial"/>
        <family val="2"/>
      </rPr>
      <t>homogen</t>
    </r>
    <r>
      <rPr>
        <sz val="11"/>
        <color rgb="FF002060"/>
        <rFont val="Arial"/>
        <family val="2"/>
      </rPr>
      <t xml:space="preserve"> verteilt. Wenn ein Gegenstand, z. B. Stein, Apfel, Feder,  …, an </t>
    </r>
  </si>
  <si>
    <t xml:space="preserve">dem Gravitationsgesetz Newtons. In der Mitte erreicht der Gegenstand sein maximales Tempo, die Beschleunigung schlägt um in Verzögerung und am anderen </t>
  </si>
  <si>
    <t xml:space="preserve">Ende des Lochs geht die Geschwindigkeit wieder auf den Wert Null zurück, um sogleich, unter Richtungsumkehrung, wieder Fahrt aufzunehmen. Kurz und gut:   </t>
  </si>
  <si>
    <t xml:space="preserve">einem der Enden in das Loch hinein fällt, dann bewegt dieser sich sogleich beschleunigt auf das Schwerkraftzentrum im Mittelpunkt des Himmelkörpers zu, nach </t>
  </si>
  <si>
    <t>des Zentralkörpers bestimmt.</t>
  </si>
  <si>
    <t>Werte für die Konstanten C</t>
  </si>
  <si>
    <r>
      <t xml:space="preserve">     </t>
    </r>
    <r>
      <rPr>
        <b/>
        <sz val="11"/>
        <color rgb="FF002060"/>
        <rFont val="Arial"/>
        <family val="2"/>
      </rPr>
      <t xml:space="preserve">Vorspann: </t>
    </r>
    <r>
      <rPr>
        <sz val="11"/>
        <color rgb="FF002060"/>
        <rFont val="Arial"/>
        <family val="2"/>
      </rPr>
      <t>Die Keplerschen Gesetze sagen aus:</t>
    </r>
  </si>
  <si>
    <r>
      <t>und rasen dann mit v = 0,998 c auf die Erdoberfläche zu. Auf dem Weg dahin zerfallen sie mit einer Halbwertszeit (HWZ) T</t>
    </r>
    <r>
      <rPr>
        <vertAlign val="subscript"/>
        <sz val="11"/>
        <color rgb="FF002060"/>
        <rFont val="Arial"/>
        <family val="2"/>
      </rPr>
      <t>H</t>
    </r>
    <r>
      <rPr>
        <sz val="11"/>
        <color rgb="FF002060"/>
        <rFont val="Arial"/>
        <family val="2"/>
      </rPr>
      <t xml:space="preserve"> = 1,52 μs. Nach ca. 22 HWZ hätten </t>
    </r>
  </si>
  <si>
    <t>Der Fallkörper schwingt zwischen den gegenüberliegen Punkten der Kugeloberfläche des Himmelskörpers harmonisch hin und her,</t>
  </si>
  <si>
    <r>
      <t xml:space="preserve">Wird der Prüfer aus der Perspektive der Crew an der Rakete </t>
    </r>
    <r>
      <rPr>
        <b/>
        <sz val="11"/>
        <color rgb="FF002060"/>
        <rFont val="Arial"/>
        <family val="2"/>
      </rPr>
      <t xml:space="preserve">kleiner </t>
    </r>
    <r>
      <rPr>
        <b/>
        <sz val="10"/>
        <color rgb="FF002060"/>
        <rFont val="Arial"/>
        <family val="2"/>
      </rPr>
      <t>und kleiner</t>
    </r>
    <r>
      <rPr>
        <b/>
        <sz val="11"/>
        <color rgb="FF002060"/>
        <rFont val="Arial"/>
        <family val="2"/>
      </rPr>
      <t xml:space="preserve"> </t>
    </r>
    <r>
      <rPr>
        <b/>
        <sz val="9"/>
        <color rgb="FF002060"/>
        <rFont val="Arial"/>
        <family val="2"/>
      </rPr>
      <t xml:space="preserve">und kleiner </t>
    </r>
    <r>
      <rPr>
        <b/>
        <sz val="8"/>
        <color rgb="FF002060"/>
        <rFont val="Arial"/>
        <family val="2"/>
      </rPr>
      <t>….</t>
    </r>
    <r>
      <rPr>
        <sz val="11"/>
        <color rgb="FF002060"/>
        <rFont val="Arial"/>
        <family val="2"/>
      </rPr>
      <t xml:space="preserve"> </t>
    </r>
  </si>
  <si>
    <t>Ergebnisse für</t>
  </si>
  <si>
    <t xml:space="preserve"> weiter draußen. </t>
  </si>
  <si>
    <r>
      <t xml:space="preserve">eines Lichtquants entsprechend der Formel:                    </t>
    </r>
    <r>
      <rPr>
        <sz val="10"/>
        <color theme="1"/>
        <rFont val="Calibri"/>
        <family val="2"/>
      </rPr>
      <t>→</t>
    </r>
  </si>
  <si>
    <r>
      <t xml:space="preserve">Eine zur Orts- und Impuls-Unbstimmtheit gleichartige Beziehung gibt es auch für die Zeitdauer </t>
    </r>
    <r>
      <rPr>
        <b/>
        <sz val="10"/>
        <color rgb="FF002060"/>
        <rFont val="Arial"/>
        <family val="2"/>
      </rPr>
      <t>Δt</t>
    </r>
    <r>
      <rPr>
        <sz val="10"/>
        <color theme="1"/>
        <rFont val="Arial"/>
        <family val="2"/>
      </rPr>
      <t xml:space="preserve"> eines</t>
    </r>
  </si>
  <si>
    <t xml:space="preserve">  Bündel von Eigenschaften wie Masse, Ladung, Spin, …, </t>
  </si>
  <si>
    <t xml:space="preserve">  die man in Experimenten lokalisieren kann, im Rahmen </t>
  </si>
  <si>
    <t>messen</t>
  </si>
  <si>
    <t>rechnen</t>
  </si>
  <si>
    <t>https://www.youtube.com/watch?v=F2Ebe8gunQA</t>
  </si>
  <si>
    <t>Ist das Universum endlich?  Prof. H. Lesch   6 min</t>
  </si>
  <si>
    <r>
      <t>Beobachtbarer Radius</t>
    </r>
    <r>
      <rPr>
        <sz val="10"/>
        <color rgb="FF002060"/>
        <rFont val="Arial"/>
        <family val="2"/>
      </rPr>
      <t xml:space="preserve"> (&gt; 13,8 Lj wegen Audehnung des Universums, s. S. 9):</t>
    </r>
  </si>
  <si>
    <r>
      <t>Scheinbare Helligkeit</t>
    </r>
    <r>
      <rPr>
        <b/>
        <sz val="11"/>
        <color rgb="FFC00000"/>
        <rFont val="Arial"/>
        <family val="2"/>
      </rPr>
      <t>*</t>
    </r>
    <r>
      <rPr>
        <sz val="11"/>
        <color theme="1"/>
        <rFont val="Arial"/>
        <family val="2"/>
      </rPr>
      <t xml:space="preserve"> der Sonne:</t>
    </r>
  </si>
  <si>
    <r>
      <rPr>
        <b/>
        <sz val="9"/>
        <color rgb="FFC00000"/>
        <rFont val="Arial"/>
        <family val="2"/>
      </rPr>
      <t>*</t>
    </r>
    <r>
      <rPr>
        <sz val="9"/>
        <color rgb="FF002060"/>
        <rFont val="Arial"/>
        <family val="2"/>
      </rPr>
      <t>) Erläuterung siehe Seite 9 von 13</t>
    </r>
  </si>
  <si>
    <r>
      <rPr>
        <b/>
        <sz val="9"/>
        <color rgb="FF002060"/>
        <rFont val="Calibri"/>
        <family val="2"/>
      </rPr>
      <t>↑</t>
    </r>
    <r>
      <rPr>
        <sz val="11"/>
        <color rgb="FF002060"/>
        <rFont val="Arial"/>
        <family val="2"/>
      </rPr>
      <t xml:space="preserve"> </t>
    </r>
    <r>
      <rPr>
        <sz val="9"/>
        <color rgb="FF002060"/>
        <rFont val="Arial"/>
        <family val="2"/>
      </rPr>
      <t>Erklärung s. Seite 7 und 8 v. 13.</t>
    </r>
  </si>
  <si>
    <t>https://www.youtube.com/watch?v=TvUD3SIywRM</t>
  </si>
  <si>
    <t xml:space="preserve">  der Unbestimmtheitsrelation. Bewegungen auf Bahnen </t>
  </si>
  <si>
    <t xml:space="preserve">  finden nicht statt. Passender ist deshalb der Ausdruck </t>
  </si>
  <si>
    <t xml:space="preserve">Quanten:            </t>
  </si>
  <si>
    <t xml:space="preserve">(Sigma) gleich sein. Aus diesem Kontext ergibt sich unvermeidlich die Lichtgeschwindigkeit: </t>
  </si>
  <si>
    <t>Wenn die Ortsunbestimmtheit gleich dem Schwarzschildradius ist,</t>
  </si>
  <si>
    <r>
      <t xml:space="preserve">lässt sich daraus eine Masse ermitteln. Das ist die </t>
    </r>
    <r>
      <rPr>
        <b/>
        <sz val="10"/>
        <color rgb="FF002060"/>
        <rFont val="Arial"/>
        <family val="2"/>
      </rPr>
      <t>Planckmasse:</t>
    </r>
  </si>
  <si>
    <r>
      <rPr>
        <sz val="10"/>
        <rFont val="Arial"/>
        <family val="2"/>
      </rPr>
      <t>die</t>
    </r>
    <r>
      <rPr>
        <sz val="10"/>
        <color theme="1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Dichte vor dem Urknal</t>
    </r>
    <r>
      <rPr>
        <sz val="10"/>
        <color theme="1"/>
        <rFont val="Arial"/>
        <family val="2"/>
      </rPr>
      <t>l</t>
    </r>
    <r>
      <rPr>
        <b/>
        <sz val="10"/>
        <color theme="1"/>
        <rFont val="Arial"/>
        <family val="2"/>
      </rPr>
      <t>:</t>
    </r>
  </si>
  <si>
    <r>
      <t xml:space="preserve">Ein </t>
    </r>
    <r>
      <rPr>
        <b/>
        <sz val="10"/>
        <color rgb="FF002060"/>
        <rFont val="Arial"/>
        <family val="2"/>
      </rPr>
      <t>Staubkorn</t>
    </r>
    <r>
      <rPr>
        <sz val="10"/>
        <color rgb="FF002060"/>
        <rFont val="Arial"/>
        <family val="2"/>
      </rPr>
      <t xml:space="preserve"> mit der </t>
    </r>
    <r>
      <rPr>
        <b/>
        <sz val="10"/>
        <color rgb="FF002060"/>
        <rFont val="Arial"/>
        <family val="2"/>
      </rPr>
      <t>Dichte des 10</t>
    </r>
    <r>
      <rPr>
        <b/>
        <vertAlign val="superscript"/>
        <sz val="10"/>
        <color rgb="FF002060"/>
        <rFont val="Arial"/>
        <family val="2"/>
      </rPr>
      <t>92</t>
    </r>
    <r>
      <rPr>
        <b/>
        <sz val="10"/>
        <color rgb="FF002060"/>
        <rFont val="Arial"/>
        <family val="2"/>
      </rPr>
      <t>-fachen von Wasser</t>
    </r>
    <r>
      <rPr>
        <sz val="10"/>
        <color rgb="FF002060"/>
        <rFont val="Arial"/>
        <family val="2"/>
      </rPr>
      <t xml:space="preserve"> (1000 kg/m³) und</t>
    </r>
  </si>
  <si>
    <r>
      <t xml:space="preserve">der Temperatur von </t>
    </r>
    <r>
      <rPr>
        <b/>
        <sz val="10"/>
        <color rgb="FF002060"/>
        <rFont val="Arial"/>
        <family val="2"/>
      </rPr>
      <t>T = 1,4 · 10</t>
    </r>
    <r>
      <rPr>
        <b/>
        <vertAlign val="superscript"/>
        <sz val="10"/>
        <color rgb="FF002060"/>
        <rFont val="Arial"/>
        <family val="2"/>
      </rPr>
      <t>32</t>
    </r>
    <r>
      <rPr>
        <b/>
        <sz val="10"/>
        <color rgb="FF002060"/>
        <rFont val="Arial"/>
        <family val="2"/>
      </rPr>
      <t xml:space="preserve"> K</t>
    </r>
    <r>
      <rPr>
        <sz val="10"/>
        <color rgb="FF002060"/>
        <rFont val="Arial"/>
        <family val="2"/>
      </rPr>
      <t xml:space="preserve"> war der Ausgangszustand des Universums.</t>
    </r>
  </si>
  <si>
    <t xml:space="preserve">  Angabe der Leuchtkraft als das Vielfache der Leuchtkraft der Sonne.</t>
  </si>
  <si>
    <t>https://www.youtube.com/watch?v=rstzFgmMSgs</t>
  </si>
  <si>
    <t xml:space="preserve">       Sternengeschichten Folge 6   11 min</t>
  </si>
  <si>
    <t>Sterne der Größe 6 die schwächsten, visuell, ohne Hilfsmittel, gerade noch sichtbaren Sterne. Dieses System hat die folgenden Eigenschaften:</t>
  </si>
  <si>
    <t xml:space="preserve">Periodendauer abhängt, d. h. je länger die Periode, um so </t>
  </si>
  <si>
    <t>Quarks&amp;Co    Leben und Sterben der Sonne   9 min.</t>
  </si>
  <si>
    <r>
      <t xml:space="preserve">Neutronenstern (&gt; 3,2 Sonnenmassen </t>
    </r>
    <r>
      <rPr>
        <sz val="11"/>
        <color theme="1"/>
        <rFont val="Calibri"/>
        <family val="2"/>
        <scheme val="minor"/>
      </rPr>
      <t>→</t>
    </r>
    <r>
      <rPr>
        <sz val="11"/>
        <color theme="1"/>
        <rFont val="Arial"/>
        <family val="2"/>
      </rPr>
      <t xml:space="preserve"> Oppenheimer-Volkoff-</t>
    </r>
  </si>
  <si>
    <t xml:space="preserve">Grenze) ist die Gravitation so enorm, dass selbst die Neutronen </t>
  </si>
  <si>
    <t xml:space="preserve">Supernova zu einem Schwarzen Loch. Im zuerst entstehenden  </t>
  </si>
  <si>
    <t xml:space="preserve">dem Druck nicht standhalten können und weiter zusammen- </t>
  </si>
  <si>
    <t xml:space="preserve">gequescht werden, so dass die Anziehung schließlich auch an  </t>
  </si>
  <si>
    <t xml:space="preserve">der Oberfläche so groß wird, dass nicht einmal mehr das Licht </t>
  </si>
  <si>
    <t xml:space="preserve">entkommen kann. Der rote Superriese ist zu einem Schwarzen </t>
  </si>
  <si>
    <t>Loch geworden. Kurz bevor Materie in ein schwarzes Loch fällt,</t>
  </si>
  <si>
    <t xml:space="preserve">wird sie nach der Einstein-Gleichung E = mc² großenteils in </t>
  </si>
  <si>
    <t>Energie umgewandelt.</t>
  </si>
  <si>
    <t>Ein Roter Superriese von &gt; 3,2 Sonnenmassen kollabiert in einer</t>
  </si>
  <si>
    <t>Kernfusion in Roten Überriesen      Josef M. Gaßner      30 min</t>
  </si>
  <si>
    <r>
      <rPr>
        <sz val="11"/>
        <color theme="10"/>
        <rFont val="Calibri"/>
        <family val="2"/>
      </rPr>
      <t xml:space="preserve"> </t>
    </r>
    <r>
      <rPr>
        <u/>
        <sz val="11"/>
        <color theme="10"/>
        <rFont val="Calibri"/>
        <family val="2"/>
      </rPr>
      <t>https://www.youtube.com/watch?v=zzyp1IHFSQ8</t>
    </r>
  </si>
  <si>
    <t>Schwarze Löcher</t>
  </si>
  <si>
    <t xml:space="preserve">Ein Prüfer des TÜV Hessen, Standort Frankfurt a. M., IP-Höchst, ist beauftragt, im Orion-Nebel eine äußere Prüfung an einem nicht rotierenden </t>
  </si>
  <si>
    <r>
      <rPr>
        <b/>
        <sz val="11"/>
        <color rgb="FF002060"/>
        <rFont val="Arial"/>
        <family val="2"/>
      </rPr>
      <t>Kraft-Teilchen</t>
    </r>
    <r>
      <rPr>
        <sz val="11"/>
        <color rgb="FF002060"/>
        <rFont val="Arial"/>
        <family val="2"/>
      </rPr>
      <t xml:space="preserve"> </t>
    </r>
    <r>
      <rPr>
        <sz val="11"/>
        <color rgb="FF002060"/>
        <rFont val="Calibri"/>
        <family val="2"/>
      </rPr>
      <t xml:space="preserve">→ </t>
    </r>
    <r>
      <rPr>
        <b/>
        <sz val="11"/>
        <color rgb="FF002060"/>
        <rFont val="Arial"/>
        <family val="2"/>
      </rPr>
      <t>Bosonen</t>
    </r>
    <r>
      <rPr>
        <sz val="11"/>
        <color rgb="FF002060"/>
        <rFont val="Arial"/>
        <family val="2"/>
      </rPr>
      <t xml:space="preserve">, die die Kräfte vermitteln , die zwischen den </t>
    </r>
  </si>
  <si>
    <r>
      <rPr>
        <b/>
        <sz val="11"/>
        <color rgb="FF002060"/>
        <rFont val="Arial"/>
        <family val="2"/>
      </rPr>
      <t>Materie-Teilchen</t>
    </r>
    <r>
      <rPr>
        <sz val="11"/>
        <color rgb="FF002060"/>
        <rFont val="Arial"/>
        <family val="2"/>
      </rPr>
      <t xml:space="preserve">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Fermionen</t>
    </r>
    <r>
      <rPr>
        <sz val="11"/>
        <color rgb="FF002060"/>
        <rFont val="Arial"/>
        <family val="2"/>
      </rPr>
      <t>, aus denen die Materie aufgebaut ist.</t>
    </r>
  </si>
  <si>
    <t xml:space="preserve">Wegen der Unbestimmtheitsrelation ist es nicht möglich zu bestimmen, wie groß ein Elementarteilchen ist. </t>
  </si>
  <si>
    <t>Zeitdauer t´ im "bewegten" System S´:</t>
  </si>
  <si>
    <r>
      <t>Jede Masse zieht eine andere Masse mit der</t>
    </r>
    <r>
      <rPr>
        <b/>
        <sz val="10"/>
        <rFont val="Arial"/>
        <family val="2"/>
      </rPr>
      <t xml:space="preserve"> Gravitationskraft</t>
    </r>
    <r>
      <rPr>
        <sz val="10"/>
        <rFont val="Arial"/>
        <family val="2"/>
      </rPr>
      <t xml:space="preserve"> an</t>
    </r>
    <r>
      <rPr>
        <b/>
        <sz val="10"/>
        <rFont val="Arial"/>
        <family val="2"/>
      </rPr>
      <t>!</t>
    </r>
  </si>
  <si>
    <r>
      <t>Beispiel: Licht</t>
    </r>
    <r>
      <rPr>
        <b/>
        <sz val="10"/>
        <color rgb="FF002060"/>
        <rFont val="Arial"/>
        <family val="2"/>
      </rPr>
      <t>quant</t>
    </r>
    <r>
      <rPr>
        <sz val="10"/>
        <color rgb="FF002060"/>
        <rFont val="Arial"/>
        <family val="2"/>
      </rPr>
      <t xml:space="preserve"> statt Licht</t>
    </r>
    <r>
      <rPr>
        <b/>
        <sz val="10"/>
        <color rgb="FF002060"/>
        <rFont val="Arial"/>
        <family val="2"/>
      </rPr>
      <t>teilchen</t>
    </r>
    <r>
      <rPr>
        <sz val="10"/>
        <color rgb="FF002060"/>
        <rFont val="Arial"/>
        <family val="2"/>
      </rPr>
      <t>!</t>
    </r>
  </si>
  <si>
    <t xml:space="preserve"> °C T =  </t>
  </si>
  <si>
    <t xml:space="preserve">der Plankschen Strahlungskurve. P ist stark abhängig von der Temperatur! Exp. 4. </t>
  </si>
  <si>
    <t xml:space="preserve">Stahlwürfel mit einer Kantenlänge von 10 cm (A = 0,06 m²) / t = 400 °C / Emissionsgrad 0,95 </t>
  </si>
  <si>
    <r>
      <rPr>
        <sz val="10"/>
        <color rgb="FF0070C0"/>
        <rFont val="Calibri"/>
        <family val="2"/>
        <scheme val="minor"/>
      </rPr>
      <t xml:space="preserve">Physik: simpleclub       </t>
    </r>
    <r>
      <rPr>
        <u/>
        <sz val="10"/>
        <color rgb="FF0070C0"/>
        <rFont val="Calibri"/>
        <family val="2"/>
        <scheme val="minor"/>
      </rPr>
      <t>https://www.youtube.com/watch?v=Ue3EfnzfMa8</t>
    </r>
    <r>
      <rPr>
        <sz val="10"/>
        <color rgb="FF0070C0"/>
        <rFont val="Calibri"/>
        <family val="2"/>
        <scheme val="minor"/>
      </rPr>
      <t xml:space="preserve">     5 min</t>
    </r>
  </si>
  <si>
    <t>Sonne / Erde</t>
  </si>
  <si>
    <r>
      <rPr>
        <sz val="11"/>
        <color rgb="FF002060"/>
        <rFont val="Calibri"/>
        <family val="2"/>
      </rPr>
      <t>•</t>
    </r>
    <r>
      <rPr>
        <sz val="11"/>
        <color rgb="FF002060"/>
        <rFont val="Arial"/>
        <family val="2"/>
      </rPr>
      <t xml:space="preserve"> Wieviel Zeit </t>
    </r>
    <r>
      <rPr>
        <b/>
        <sz val="11"/>
        <color rgb="FF002060"/>
        <rFont val="Arial"/>
        <family val="2"/>
      </rPr>
      <t>t'</t>
    </r>
    <r>
      <rPr>
        <sz val="11"/>
        <color rgb="FF002060"/>
        <rFont val="Arial"/>
        <family val="2"/>
      </rPr>
      <t xml:space="preserve"> ist für die Raumfahrer nach ihrer eigenen "bewegten" Uhr vergangen?</t>
    </r>
  </si>
  <si>
    <t>siehe hierzu Sammelsurium S. 11 und 12.</t>
  </si>
  <si>
    <t>sich somit auch errechnen nach der Formel:</t>
  </si>
  <si>
    <r>
      <rPr>
        <b/>
        <sz val="11"/>
        <color theme="1"/>
        <rFont val="Arial"/>
        <family val="2"/>
      </rPr>
      <t>Anmerkung:</t>
    </r>
    <r>
      <rPr>
        <sz val="11"/>
        <color theme="1"/>
        <rFont val="Arial"/>
        <family val="2"/>
      </rPr>
      <t xml:space="preserve"> Den Absoprtionslinien des Wasserstoff-Atoms, den H-Linien [nm]</t>
    </r>
  </si>
  <si>
    <r>
      <rPr>
        <b/>
        <sz val="11"/>
        <color theme="1"/>
        <rFont val="Arial"/>
        <family val="2"/>
      </rPr>
      <t>Halbbesetzte</t>
    </r>
    <r>
      <rPr>
        <sz val="11"/>
        <color theme="1"/>
        <rFont val="Arial"/>
        <family val="2"/>
      </rPr>
      <t xml:space="preserve"> Aufenthaltsbereiche sind relativ </t>
    </r>
    <r>
      <rPr>
        <b/>
        <sz val="11"/>
        <color theme="1"/>
        <rFont val="Arial"/>
        <family val="2"/>
      </rPr>
      <t>stabile Zustände</t>
    </r>
    <r>
      <rPr>
        <sz val="11"/>
        <color theme="1"/>
        <rFont val="Arial"/>
        <family val="2"/>
      </rPr>
      <t xml:space="preserve"> für ein Element </t>
    </r>
    <r>
      <rPr>
        <sz val="11"/>
        <color theme="1"/>
        <rFont val="Calibri"/>
        <family val="2"/>
      </rPr>
      <t>→</t>
    </r>
    <r>
      <rPr>
        <sz val="11"/>
        <color theme="1"/>
        <rFont val="Arial"/>
        <family val="2"/>
      </rPr>
      <t xml:space="preserve"> Stickstoff (Verwendung als Inertgas): 1s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2s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2p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.</t>
    </r>
    <r>
      <rPr>
        <b/>
        <sz val="11"/>
        <color theme="1"/>
        <rFont val="Arial"/>
        <family val="2"/>
      </rPr>
      <t xml:space="preserve"> Vollbesetzte</t>
    </r>
    <r>
      <rPr>
        <sz val="11"/>
        <color theme="1"/>
        <rFont val="Arial"/>
        <family val="2"/>
      </rPr>
      <t xml:space="preserve"> Schalen sind </t>
    </r>
    <r>
      <rPr>
        <b/>
        <sz val="11"/>
        <color theme="1"/>
        <rFont val="Arial"/>
        <family val="2"/>
      </rPr>
      <t xml:space="preserve"> </t>
    </r>
  </si>
  <si>
    <r>
      <t xml:space="preserve">noch stabiler </t>
    </r>
    <r>
      <rPr>
        <sz val="11"/>
        <color theme="1"/>
        <rFont val="Calibri"/>
        <family val="2"/>
        <scheme val="minor"/>
      </rPr>
      <t>→</t>
    </r>
    <r>
      <rPr>
        <sz val="11"/>
        <color theme="1"/>
        <rFont val="Arial"/>
        <family val="2"/>
      </rPr>
      <t xml:space="preserve"> Edelgase (He, Ne, Ar, Kr, Xe, Rn); ihre Elektonenkonfiguration ist </t>
    </r>
    <r>
      <rPr>
        <b/>
        <sz val="11"/>
        <color theme="1"/>
        <rFont val="Arial"/>
        <family val="2"/>
      </rPr>
      <t>ns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np</t>
    </r>
    <r>
      <rPr>
        <b/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, welche sehr stabil ist. Nach dem Bohrschen Atommodell sind dann die </t>
    </r>
  </si>
  <si>
    <t>Elektronen auf der äußeren Schale, die Valenzekektronen, mit acht Elektronen voll besetzt (Oktett-Regel).</t>
  </si>
  <si>
    <r>
      <rPr>
        <b/>
        <sz val="11"/>
        <color theme="1"/>
        <rFont val="Arial"/>
        <family val="2"/>
      </rPr>
      <t>Einzig der Spin</t>
    </r>
    <r>
      <rPr>
        <sz val="11"/>
        <color theme="1"/>
        <rFont val="Arial"/>
        <family val="2"/>
      </rPr>
      <t xml:space="preserve"> entscheidet, ob ein Teilchen zu den </t>
    </r>
    <r>
      <rPr>
        <b/>
        <sz val="11"/>
        <color theme="1"/>
        <rFont val="Arial"/>
        <family val="2"/>
      </rPr>
      <t>Materieteilchen</t>
    </r>
    <r>
      <rPr>
        <sz val="11"/>
        <color theme="1"/>
        <rFont val="Arial"/>
        <family val="2"/>
      </rPr>
      <t xml:space="preserve"> (Fermionen, Spin </t>
    </r>
    <r>
      <rPr>
        <b/>
        <sz val="11"/>
        <color rgb="FFC00000"/>
        <rFont val="Arial"/>
        <family val="2"/>
      </rPr>
      <t>halbzahlig</t>
    </r>
    <r>
      <rPr>
        <sz val="11"/>
        <color theme="1"/>
        <rFont val="Arial"/>
        <family val="2"/>
      </rPr>
      <t xml:space="preserve">) oder den </t>
    </r>
    <r>
      <rPr>
        <b/>
        <sz val="11"/>
        <color theme="1"/>
        <rFont val="Arial"/>
        <family val="2"/>
      </rPr>
      <t>Kraftteilchen</t>
    </r>
    <r>
      <rPr>
        <sz val="11"/>
        <color theme="1"/>
        <rFont val="Arial"/>
        <family val="2"/>
      </rPr>
      <t xml:space="preserve"> (Bosonen, Spin</t>
    </r>
    <r>
      <rPr>
        <sz val="11"/>
        <color rgb="FFC00000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ganzzahlig</t>
    </r>
    <r>
      <rPr>
        <sz val="11"/>
        <color theme="1"/>
        <rFont val="Arial"/>
        <family val="2"/>
      </rPr>
      <t>) gehört.</t>
    </r>
  </si>
  <si>
    <r>
      <t>Die geamte uns bekannte Materie (H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, He, 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O, Fe, ...) ist aus Fermionen aufgebaut, von denen es wiederum zwei Gruppen gibt:</t>
    </r>
  </si>
  <si>
    <t xml:space="preserve">D = </t>
  </si>
  <si>
    <t xml:space="preserve">angepeilt wird, vor dem weit entfernten Hintergrund, dem Fix-Sternhimmel, im Halbjahres-Rhythmus. </t>
  </si>
  <si>
    <t>Das sagt aus: Der Stern bwegt sich scheinbar periodisch um seine mittlere Position vor dem Hinter-</t>
  </si>
  <si>
    <r>
      <t>grund. Den Winkel Pi (</t>
    </r>
    <r>
      <rPr>
        <sz val="11"/>
        <rFont val="Calibri"/>
        <family val="2"/>
      </rPr>
      <t>π</t>
    </r>
    <r>
      <rPr>
        <sz val="11"/>
        <rFont val="Arial"/>
        <family val="2"/>
      </rPr>
      <t xml:space="preserve">), die Parallaxe, kann man genau messen (´´ </t>
    </r>
    <r>
      <rPr>
        <sz val="11"/>
        <rFont val="Calibri"/>
        <family val="2"/>
        <scheme val="minor"/>
      </rPr>
      <t>→</t>
    </r>
    <r>
      <rPr>
        <sz val="11"/>
        <rFont val="Arial"/>
        <family val="2"/>
      </rPr>
      <t xml:space="preserve"> Bogensekunden) und somit </t>
    </r>
  </si>
  <si>
    <t>die Entfernung des Sterns von der Sonne berechnen.</t>
  </si>
  <si>
    <r>
      <t>Parallaxen-Winkel Pi (</t>
    </r>
    <r>
      <rPr>
        <sz val="11"/>
        <color theme="1"/>
        <rFont val="Calibri"/>
        <family val="2"/>
      </rPr>
      <t>π</t>
    </r>
    <r>
      <rPr>
        <sz val="11"/>
        <color theme="1"/>
        <rFont val="Arial"/>
        <family val="2"/>
      </rPr>
      <t xml:space="preserve">): Proxima Centauri  0,768 </t>
    </r>
    <r>
      <rPr>
        <b/>
        <sz val="11"/>
        <color theme="1"/>
        <rFont val="Arial"/>
        <family val="2"/>
      </rPr>
      <t>´´</t>
    </r>
    <r>
      <rPr>
        <sz val="11"/>
        <color theme="1"/>
        <rFont val="Arial"/>
        <family val="2"/>
      </rPr>
      <t xml:space="preserve"> / Wega 0,129</t>
    </r>
    <r>
      <rPr>
        <b/>
        <sz val="11"/>
        <color theme="1"/>
        <rFont val="Arial"/>
        <family val="2"/>
      </rPr>
      <t>´´</t>
    </r>
    <r>
      <rPr>
        <sz val="11"/>
        <color theme="1"/>
        <rFont val="Arial"/>
        <family val="2"/>
      </rPr>
      <t xml:space="preserve"> / Rigel 0,00378</t>
    </r>
    <r>
      <rPr>
        <b/>
        <sz val="11"/>
        <color theme="1"/>
        <rFont val="Arial"/>
        <family val="2"/>
      </rPr>
      <t>´´</t>
    </r>
    <r>
      <rPr>
        <sz val="11"/>
        <color theme="1"/>
        <rFont val="Arial"/>
        <family val="2"/>
      </rPr>
      <t xml:space="preserve"> </t>
    </r>
  </si>
  <si>
    <t xml:space="preserve">Pollux (Zwillinge):  </t>
  </si>
  <si>
    <t xml:space="preserve">Beispiele         </t>
  </si>
  <si>
    <t>Pollux</t>
  </si>
  <si>
    <r>
      <rPr>
        <sz val="11"/>
        <rFont val="Arial"/>
        <family val="2"/>
      </rPr>
      <t xml:space="preserve">  Gravitonen? Kein Nachweis</t>
    </r>
    <r>
      <rPr>
        <sz val="11"/>
        <color theme="1"/>
        <rFont val="Arial"/>
        <family val="2"/>
      </rPr>
      <t>, wahrscheinlich gibt es sie nicht.</t>
    </r>
  </si>
  <si>
    <t>Radioaktivität</t>
  </si>
  <si>
    <t xml:space="preserve">   Virtuelle Photonen</t>
  </si>
  <si>
    <r>
      <t xml:space="preserve">besteht (rot+antirot oder grün+antigrün oder </t>
    </r>
    <r>
      <rPr>
        <b/>
        <sz val="11"/>
        <color rgb="FF0070C0"/>
        <rFont val="Arial"/>
        <family val="2"/>
      </rPr>
      <t>blau</t>
    </r>
    <r>
      <rPr>
        <sz val="11"/>
        <color rgb="FF002060"/>
        <rFont val="Arial"/>
        <family val="2"/>
      </rPr>
      <t>+</t>
    </r>
    <r>
      <rPr>
        <b/>
        <sz val="11"/>
        <color rgb="FFA8C129"/>
        <rFont val="Arial"/>
        <family val="2"/>
      </rPr>
      <t>antiblau</t>
    </r>
    <r>
      <rPr>
        <sz val="11"/>
        <color rgb="FF002060"/>
        <rFont val="Arial"/>
        <family val="2"/>
      </rPr>
      <t xml:space="preserve"> = weiß). Die Teilchen </t>
    </r>
  </si>
  <si>
    <t xml:space="preserve">und anderen Teilchen gegenseitig vernichten können. Entsprechend verhindert ein </t>
  </si>
  <si>
    <t xml:space="preserve">sind instabil, weil Quark und Antiquark sich unter Hervorbringung von Elektronen </t>
  </si>
  <si>
    <t xml:space="preserve">haben eine Farbe, so dass eine Ansammlung von Gluonen erforderlich ist, die sich  </t>
  </si>
  <si>
    <r>
      <t xml:space="preserve">Eine andere Möglichkeit ist ein Paar, das aus einem </t>
    </r>
    <r>
      <rPr>
        <b/>
        <sz val="11"/>
        <color rgb="FF002060"/>
        <rFont val="Arial"/>
        <family val="2"/>
      </rPr>
      <t>Quark</t>
    </r>
    <r>
      <rPr>
        <sz val="11"/>
        <color rgb="FF002060"/>
        <rFont val="Arial"/>
        <family val="2"/>
      </rPr>
      <t xml:space="preserve"> und einem </t>
    </r>
    <r>
      <rPr>
        <b/>
        <sz val="11"/>
        <color rgb="FF002060"/>
        <rFont val="Arial"/>
        <family val="2"/>
      </rPr>
      <t xml:space="preserve">Antiquark </t>
    </r>
  </si>
  <si>
    <r>
      <t xml:space="preserve">gehören zu den </t>
    </r>
    <r>
      <rPr>
        <b/>
        <sz val="11"/>
        <color rgb="FF002060"/>
        <rFont val="Arial"/>
        <family val="2"/>
      </rPr>
      <t>Mesonen</t>
    </r>
    <r>
      <rPr>
        <sz val="11"/>
        <color rgb="FF002060"/>
        <rFont val="Arial"/>
        <family val="2"/>
      </rPr>
      <t xml:space="preserve"> (Hadronen aus 2 Quarks </t>
    </r>
    <r>
      <rPr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 xml:space="preserve">Quark </t>
    </r>
    <r>
      <rPr>
        <sz val="11"/>
        <color rgb="FF002060"/>
        <rFont val="Arial"/>
        <family val="2"/>
      </rPr>
      <t>und</t>
    </r>
    <r>
      <rPr>
        <b/>
        <sz val="11"/>
        <color rgb="FF002060"/>
        <rFont val="Arial"/>
        <family val="2"/>
      </rPr>
      <t xml:space="preserve"> Antiquark</t>
    </r>
    <r>
      <rPr>
        <sz val="11"/>
        <color rgb="FF002060"/>
        <rFont val="Arial"/>
        <family val="2"/>
      </rPr>
      <t xml:space="preserve">). Sie </t>
    </r>
  </si>
  <si>
    <t xml:space="preserve">zu weiß addieren. Die weiße Farbe bildet ein instabiles Teilchen, einen "Glueball" </t>
  </si>
  <si>
    <r>
      <t xml:space="preserve">hat eine Eigenschaft, </t>
    </r>
    <r>
      <rPr>
        <b/>
        <sz val="11"/>
        <color rgb="FF002060"/>
        <rFont val="Arial"/>
        <family val="2"/>
      </rPr>
      <t>Confinement</t>
    </r>
    <r>
      <rPr>
        <sz val="11"/>
        <color rgb="FF002060"/>
        <rFont val="Arial"/>
        <family val="2"/>
      </rPr>
      <t xml:space="preserve"> (Beschränkung) genannt. Immer bindet sie Teil-</t>
    </r>
  </si>
  <si>
    <t>Confinement, dass ein freies, einzelnes Gluon existieren kann, denn auch Gluonen</t>
  </si>
  <si>
    <t>Zerfallsgesetz, Zerfallskonstante, Halbwertszeit</t>
  </si>
  <si>
    <t>N(t) =</t>
  </si>
  <si>
    <t xml:space="preserve">Zerfallskonstante: </t>
  </si>
  <si>
    <r>
      <rPr>
        <sz val="11"/>
        <color theme="1"/>
        <rFont val="Calibri"/>
        <family val="2"/>
      </rPr>
      <t>λ</t>
    </r>
    <r>
      <rPr>
        <sz val="11"/>
        <color theme="1"/>
        <rFont val="Arial"/>
        <family val="2"/>
      </rPr>
      <t xml:space="preserve"> =  </t>
    </r>
  </si>
  <si>
    <t xml:space="preserve">sind Heliumatomkerne mit zwei Protonen und zwei Neutronen. Die Durchdringungfähigkeit der Strahlung ist gering, schon ein Blatt Papier oder die Haut kann sie </t>
  </si>
  <si>
    <r>
      <t>ist deutlich höher und sie kann bis einige Millimeter in Materialien wie Aluminium eindringen. Gammastrahlen (</t>
    </r>
    <r>
      <rPr>
        <sz val="11"/>
        <rFont val="Calibri"/>
        <family val="2"/>
      </rPr>
      <t>γ</t>
    </r>
    <r>
      <rPr>
        <sz val="11"/>
        <rFont val="Arial"/>
        <family val="2"/>
      </rPr>
      <t xml:space="preserve"> - Strahlen) sind Elelektromagnetische Welllen mit </t>
    </r>
  </si>
  <si>
    <t xml:space="preserve">hoher Energie. Sie haben eine sehr hohe Durchdringungsfähigkeit und können nur durch dichte Materialen wie Blei oder dicke Betonwände wirksam abeschirmt </t>
  </si>
  <si>
    <r>
      <t>N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 xml:space="preserve"> = </t>
    </r>
  </si>
  <si>
    <t xml:space="preserve">Halbwertszeit in Jahren: </t>
  </si>
  <si>
    <t xml:space="preserve">Halbwertszeit in Sekunden: </t>
  </si>
  <si>
    <r>
      <t>T</t>
    </r>
    <r>
      <rPr>
        <vertAlign val="sub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 xml:space="preserve"> =</t>
    </r>
  </si>
  <si>
    <r>
      <t>t</t>
    </r>
    <r>
      <rPr>
        <vertAlign val="subscript"/>
        <sz val="11"/>
        <color theme="1"/>
        <rFont val="Arial"/>
        <family val="2"/>
      </rPr>
      <t>HWZ</t>
    </r>
    <r>
      <rPr>
        <sz val="11"/>
        <color theme="1"/>
        <rFont val="Arial"/>
        <family val="2"/>
      </rPr>
      <t xml:space="preserve"> =</t>
    </r>
  </si>
  <si>
    <t xml:space="preserve">Chmisches Element; </t>
  </si>
  <si>
    <t>Kohlenstoff</t>
  </si>
  <si>
    <t xml:space="preserve">Radioaktives Isotop: </t>
  </si>
  <si>
    <t xml:space="preserve">=      </t>
  </si>
  <si>
    <t xml:space="preserve">Aktivität zum Zeitpunkt t: </t>
  </si>
  <si>
    <t>A(t) =</t>
  </si>
  <si>
    <r>
      <t>Zwischen der Halbwertszeit T</t>
    </r>
    <r>
      <rPr>
        <b/>
        <vertAlign val="subscript"/>
        <sz val="10"/>
        <color theme="1"/>
        <rFont val="Arial"/>
        <family val="2"/>
      </rPr>
      <t>1/2</t>
    </r>
    <r>
      <rPr>
        <sz val="10"/>
        <color theme="1"/>
        <rFont val="Arial"/>
        <family val="2"/>
      </rPr>
      <t xml:space="preserve"> und der Zerfalls-</t>
    </r>
  </si>
  <si>
    <t>konstanten λ besteht folgender Zusammenhang:</t>
  </si>
  <si>
    <t xml:space="preserve">zerfallenen Atomkerne gilt: </t>
  </si>
  <si>
    <r>
      <t>Die Halbwertszeit (HWZ) T</t>
    </r>
    <r>
      <rPr>
        <b/>
        <vertAlign val="subscript"/>
        <sz val="10"/>
        <color theme="1"/>
        <rFont val="Arial"/>
        <family val="2"/>
      </rPr>
      <t>1/2</t>
    </r>
    <r>
      <rPr>
        <sz val="10"/>
        <color theme="1"/>
        <rFont val="Arial"/>
        <family val="2"/>
      </rPr>
      <t xml:space="preserve"> ist die Zeitspanne, </t>
    </r>
  </si>
  <si>
    <t xml:space="preserve">in der sich die nicht zerfallenen Atomkerne eines </t>
  </si>
  <si>
    <t xml:space="preserve">radioaktiven Präparates halbiert. </t>
  </si>
  <si>
    <t>zum Zeitpunkt t gilt:</t>
  </si>
  <si>
    <t>Für die Aktivität A (Anzahl der Zerfälle pro Sekunde)</t>
  </si>
  <si>
    <t>Seite 14 von 14</t>
  </si>
  <si>
    <t>Seite 13 von 14</t>
  </si>
  <si>
    <t>Seite 12 von 14</t>
  </si>
  <si>
    <t>Seite 11 von 14</t>
  </si>
  <si>
    <t>Seite 10 von 14</t>
  </si>
  <si>
    <t>Seite 9 von 14</t>
  </si>
  <si>
    <t>Seite 8 von 14</t>
  </si>
  <si>
    <t>Seite 7 von 14</t>
  </si>
  <si>
    <t>Seite 6 von 14</t>
  </si>
  <si>
    <t>Seite 5 von 14</t>
  </si>
  <si>
    <t>Seite 4 von 14</t>
  </si>
  <si>
    <t>Seite 3 von 14</t>
  </si>
  <si>
    <t>Seite 2 von 14</t>
  </si>
  <si>
    <t>Seite 1 von 14</t>
  </si>
  <si>
    <t xml:space="preserve">Die Strahlung entsteht, wenn die Kerne der Atome Energie abgeben, um energieärmere und damit stabilere Zustände anzunehmen. Alpha-Strahlen (α-Strahlen) </t>
  </si>
  <si>
    <t>C14</t>
  </si>
  <si>
    <r>
      <t xml:space="preserve"> s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 xml:space="preserve"> bzw. Bq</t>
    </r>
    <r>
      <rPr>
        <b/>
        <sz val="11"/>
        <color rgb="FFC00000"/>
        <rFont val="Arial"/>
        <family val="2"/>
      </rPr>
      <t>*</t>
    </r>
  </si>
  <si>
    <r>
      <rPr>
        <sz val="9"/>
        <color rgb="FFC00000"/>
        <rFont val="Arial"/>
        <family val="2"/>
      </rPr>
      <t>*</t>
    </r>
    <r>
      <rPr>
        <sz val="9"/>
        <color theme="1"/>
        <rFont val="Arial"/>
        <family val="2"/>
      </rPr>
      <t>) Henri Becquerel, französicher Physiker (1852 - 1908)</t>
    </r>
  </si>
  <si>
    <t>Lambda λ gibt an, welcher Anteil von einem radioaktiven</t>
  </si>
  <si>
    <t>Isotop in der nächsten Sekunde zerfällt.</t>
  </si>
  <si>
    <r>
      <t>stoppen. Kritisch hingegen ist eine Inkorporation zu sehen. Beta-Strahlung (</t>
    </r>
    <r>
      <rPr>
        <sz val="11"/>
        <rFont val="Calibri"/>
        <family val="2"/>
      </rPr>
      <t>β</t>
    </r>
    <r>
      <rPr>
        <sz val="11"/>
        <rFont val="Arial"/>
        <family val="2"/>
      </rPr>
      <t xml:space="preserve"> - Strahlung) besteht aus Elektronen oder Positronen, ihr Durchdringungsvermögen </t>
    </r>
  </si>
  <si>
    <t xml:space="preserve">Alter der Probe: </t>
  </si>
  <si>
    <r>
      <rPr>
        <b/>
        <sz val="11"/>
        <color theme="1"/>
        <rFont val="Arial"/>
        <family val="2"/>
      </rPr>
      <t>Beispiel:</t>
    </r>
    <r>
      <rPr>
        <sz val="11"/>
        <color theme="1"/>
        <rFont val="Arial"/>
        <family val="2"/>
      </rPr>
      <t xml:space="preserve"> Ötzi, entdeckt 1991 (Quelle: Maximilian Gymnasium München)</t>
    </r>
  </si>
  <si>
    <t>Das Zerfallsgesetz gibt die Anzahl der nicht zerfallenen Atomkerne an.</t>
  </si>
  <si>
    <r>
      <t>Anteil des Kohlenstoffisotops C14 in einer organischen Probe ermittelt. Das Kohlenstoffisotop C14 hat eine HWZ von T</t>
    </r>
    <r>
      <rPr>
        <vertAlign val="subscript"/>
        <sz val="11"/>
        <color theme="1"/>
        <rFont val="Arial"/>
        <family val="2"/>
      </rPr>
      <t>1/2</t>
    </r>
    <r>
      <rPr>
        <sz val="11"/>
        <color theme="1"/>
        <rFont val="Arial"/>
        <family val="2"/>
      </rPr>
      <t xml:space="preserve"> = 5730 Jahre. Der nicht zerfallene Anteil</t>
    </r>
  </si>
  <si>
    <t xml:space="preserve"> Atomkerne zum Zeitpunkt t: </t>
  </si>
  <si>
    <t xml:space="preserve">Anzahl der nicht zerfallenen  </t>
  </si>
  <si>
    <r>
      <t>T</t>
    </r>
    <r>
      <rPr>
        <b/>
        <vertAlign val="subscript"/>
        <sz val="10"/>
        <color theme="1"/>
        <rFont val="Arial"/>
        <family val="2"/>
      </rPr>
      <t>Probe</t>
    </r>
    <r>
      <rPr>
        <sz val="11"/>
        <color theme="1"/>
        <rFont val="Arial"/>
        <family val="2"/>
      </rPr>
      <t xml:space="preserve"> =</t>
    </r>
  </si>
  <si>
    <r>
      <t xml:space="preserve">Für den Bestand N der zum Zeitpunkt t </t>
    </r>
    <r>
      <rPr>
        <b/>
        <sz val="10"/>
        <color rgb="FFC00000"/>
        <rFont val="Arial"/>
        <family val="2"/>
      </rPr>
      <t>noch nicht</t>
    </r>
    <r>
      <rPr>
        <sz val="10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</si>
  <si>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Ergebnis:</t>
    </r>
    <r>
      <rPr>
        <sz val="11"/>
        <color theme="1"/>
        <rFont val="Arial"/>
        <family val="2"/>
      </rPr>
      <t xml:space="preserve"> Seit Ötzi´s Tod bis zum Zeitpunkt der v. g. Messung N(t) sind ca. 5250 Jahre vergangen! </t>
    </r>
    <r>
      <rPr>
        <b/>
        <sz val="11"/>
        <color theme="1"/>
        <rFont val="Arial"/>
        <family val="2"/>
      </rPr>
      <t>Hinweis:</t>
    </r>
    <r>
      <rPr>
        <sz val="11"/>
        <color theme="1"/>
        <rFont val="Arial"/>
        <family val="2"/>
      </rPr>
      <t xml:space="preserve"> C14 - Methode ist bis max. 50.000 Jahre geeignet.</t>
    </r>
  </si>
  <si>
    <t>Atom- / Quantenphysik</t>
  </si>
  <si>
    <t xml:space="preserve">positiv geladenen Atomkern aus Protonen und Neutronen bewegen, wie Planeten um  </t>
  </si>
  <si>
    <t xml:space="preserve">die Sonne. Die Anzahl der Elementarladungen in Hülle und Kern ist gleich und so ist </t>
  </si>
  <si>
    <t xml:space="preserve">wicklung des Rutherford-Modells (Streuversuch von 1913) und geht davon aus, dass </t>
  </si>
  <si>
    <r>
      <t xml:space="preserve">3. Elektronen bewegen sich auf ihren Bahnen </t>
    </r>
    <r>
      <rPr>
        <b/>
        <sz val="10"/>
        <color rgb="FFC00000"/>
        <rFont val="Arial"/>
        <family val="2"/>
      </rPr>
      <t>ohne</t>
    </r>
    <r>
      <rPr>
        <b/>
        <sz val="10"/>
        <color rgb="FF002060"/>
        <rFont val="Arial"/>
        <family val="2"/>
      </rPr>
      <t xml:space="preserve"> zu strahlen</t>
    </r>
    <r>
      <rPr>
        <sz val="10"/>
        <color rgb="FFC00000"/>
        <rFont val="Arial"/>
        <family val="2"/>
      </rPr>
      <t>*</t>
    </r>
    <r>
      <rPr>
        <b/>
        <sz val="10"/>
        <color rgb="FF002060"/>
        <rFont val="Arial"/>
        <family val="2"/>
      </rPr>
      <t>:</t>
    </r>
  </si>
  <si>
    <r>
      <rPr>
        <b/>
        <sz val="10"/>
        <color rgb="FFC00000"/>
        <rFont val="Arial"/>
        <family val="2"/>
      </rPr>
      <t>*</t>
    </r>
    <r>
      <rPr>
        <sz val="10"/>
        <color rgb="FF002060"/>
        <rFont val="Arial"/>
        <family val="2"/>
      </rPr>
      <t xml:space="preserve">) </t>
    </r>
    <r>
      <rPr>
        <sz val="10"/>
        <color rgb="FF002060"/>
        <rFont val="Arial"/>
        <family val="2"/>
      </rPr>
      <t>Warum das 3. Postulat?</t>
    </r>
  </si>
  <si>
    <t>h =</t>
  </si>
  <si>
    <r>
      <t xml:space="preserve">Die Energien für </t>
    </r>
    <r>
      <rPr>
        <b/>
        <sz val="11"/>
        <color rgb="FF002060"/>
        <rFont val="Arial"/>
        <family val="2"/>
      </rPr>
      <t>angeregte</t>
    </r>
    <r>
      <rPr>
        <sz val="11"/>
        <color rgb="FF002060"/>
        <rFont val="Arial"/>
        <family val="2"/>
      </rPr>
      <t xml:space="preserve"> Zustänge lassen</t>
    </r>
  </si>
  <si>
    <r>
      <t>Äußere Bahn (</t>
    </r>
    <r>
      <rPr>
        <b/>
        <sz val="11"/>
        <color theme="1"/>
        <rFont val="Arial"/>
        <family val="2"/>
      </rPr>
      <t>m &gt; n</t>
    </r>
    <r>
      <rPr>
        <sz val="11"/>
        <color theme="1"/>
        <rFont val="Arial"/>
        <family val="2"/>
      </rPr>
      <t xml:space="preserve">) mit höherer Energie </t>
    </r>
    <r>
      <rPr>
        <b/>
        <sz val="11"/>
        <color theme="1"/>
        <rFont val="Arial"/>
        <family val="2"/>
      </rPr>
      <t>E</t>
    </r>
    <r>
      <rPr>
        <b/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: </t>
    </r>
  </si>
  <si>
    <t xml:space="preserve">sich Elektronen als Teilchen mit negativer Elementarladung auf Kreisbahnen um den </t>
  </si>
  <si>
    <t>Interferenz), also nach der Bedingung:</t>
  </si>
  <si>
    <r>
      <t xml:space="preserve">Das Elektron bewegt sich auf einer Kreisbahn als eine </t>
    </r>
    <r>
      <rPr>
        <b/>
        <sz val="10"/>
        <color rgb="FF002060"/>
        <rFont val="Arial"/>
        <family val="2"/>
      </rPr>
      <t>stehende Welle</t>
    </r>
    <r>
      <rPr>
        <sz val="10"/>
        <color rgb="FF002060"/>
        <rFont val="Arial"/>
        <family val="2"/>
      </rPr>
      <t xml:space="preserve"> (andernfalls  </t>
    </r>
  </si>
  <si>
    <t>Umlauf-</t>
  </si>
  <si>
    <t>geschwindigkeit:</t>
  </si>
  <si>
    <r>
      <t xml:space="preserve">        </t>
    </r>
    <r>
      <rPr>
        <b/>
        <u/>
        <sz val="9"/>
        <color theme="9" tint="-0.499984740745262"/>
        <rFont val="Arial"/>
        <family val="2"/>
      </rPr>
      <t>Grafik: wikipedia.org</t>
    </r>
    <r>
      <rPr>
        <b/>
        <sz val="9"/>
        <color theme="9" tint="-0.499984740745262"/>
        <rFont val="Arial"/>
        <family val="2"/>
      </rPr>
      <t xml:space="preserve">                              </t>
    </r>
    <r>
      <rPr>
        <b/>
        <u/>
        <sz val="9"/>
        <color theme="9" tint="-0.499984740745262"/>
        <rFont val="Arial"/>
        <family val="2"/>
      </rPr>
      <t>Grafik: stern.de</t>
    </r>
  </si>
  <si>
    <t>Beziehung der Geschwindigkeit zu Masse, Energie, Impuls</t>
  </si>
  <si>
    <t>(15 Mio. K)</t>
  </si>
  <si>
    <t xml:space="preserve">1000 km dick. Temperatur: 4.800 K innen, eine Million K außen. Flockige Struktur, als </t>
  </si>
  <si>
    <t>(2 Mio. - 5800 K)</t>
  </si>
  <si>
    <t xml:space="preserve">Uranus*       </t>
  </si>
  <si>
    <t xml:space="preserve">Jupiter*       </t>
  </si>
  <si>
    <t xml:space="preserve">Neptun*       </t>
  </si>
  <si>
    <t xml:space="preserve">Saturn*        </t>
  </si>
  <si>
    <t xml:space="preserve">Mars**         </t>
  </si>
  <si>
    <t xml:space="preserve">Erde**         </t>
  </si>
  <si>
    <t xml:space="preserve">Venus**      </t>
  </si>
  <si>
    <t xml:space="preserve">Merkur**     </t>
  </si>
  <si>
    <t>Stern Alpha-Centauri ist schon unhandliche 268700 AE (4,2 Lichtjahre) entfernt von der Sonne.</t>
  </si>
  <si>
    <t xml:space="preserve">kraft (nur kurze Reichweite) beginnt zu wirken ► jeweils zwei Protonen fusionieren unter Abspaltung </t>
  </si>
  <si>
    <t xml:space="preserve">Dichte 100 - 1000 Moleküle pro cm³), neben weiteren Sternen, auch unsere Sonne, als ein Stern der </t>
  </si>
  <si>
    <t xml:space="preserve">► Elektronen verlassen Atomverband ► Plasma ► Protonen werden dichter gepackt und kommen, </t>
  </si>
  <si>
    <t>gegen die Coulombabstoßung, immer enger zusammen (10 Mrd. bar / 15 Mio. K) ► die starke Kern-</t>
  </si>
  <si>
    <r>
      <t xml:space="preserve">zu zwei schweren Wasserstoffkernen </t>
    </r>
    <r>
      <rPr>
        <b/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H (Deuterium), die nachfolgend über zwei </t>
    </r>
    <r>
      <rPr>
        <b/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He-Kerne zu einem </t>
    </r>
  </si>
  <si>
    <r>
      <t>Vor 4,6 Milliarden Jahren bildete sich aus einer riesigen Gas- und Staubwolke</t>
    </r>
    <r>
      <rPr>
        <sz val="11"/>
        <color rgb="FFC00000"/>
        <rFont val="Arial"/>
        <family val="2"/>
      </rPr>
      <t>*</t>
    </r>
    <r>
      <rPr>
        <sz val="11"/>
        <color theme="1"/>
        <rFont val="Arial"/>
        <family val="2"/>
      </rPr>
      <t xml:space="preserve"> (Ausmaße 20 - 50 Lj, </t>
    </r>
  </si>
  <si>
    <t xml:space="preserve">wird. Auslöser ist Gravitationsdruck ► H-Atome werden enger gepackt und bewegen sich schneller </t>
  </si>
  <si>
    <t>je eines Positrons und Elektron-Neutrinos und Bildung eines Neutrons, mit je einem weiteren Proton</t>
  </si>
  <si>
    <r>
      <rPr>
        <b/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He-Kern weiter verschmelzen, dem vorläufigen Endprodukt.</t>
    </r>
  </si>
  <si>
    <t xml:space="preserve">              Karl Schwarzschild</t>
  </si>
  <si>
    <t xml:space="preserve">                   (1873 - 1916)</t>
  </si>
  <si>
    <t>https://www.youtube.com/watch?v=n_Et5oV7SXk</t>
  </si>
  <si>
    <t>H. Lesch:  Gibt es eine maximale Temperatur im Universum?   12 min</t>
  </si>
  <si>
    <t>als Differenz</t>
  </si>
  <si>
    <t>https://www.youtube.com/watch?v=dN_XDU7q0kE</t>
  </si>
  <si>
    <t>Von Einstein zu Heisenberg, Prof. H. Lesch  16 min</t>
  </si>
  <si>
    <t>Strukturbildung im frühen Universum  Omega Centauri (4)  Prof. H. Lesch   20 min.</t>
  </si>
  <si>
    <t>Kalkulierte Daten über das für uns beobachtbare Universum heute:</t>
  </si>
  <si>
    <r>
      <t xml:space="preserve">der </t>
    </r>
    <r>
      <rPr>
        <b/>
        <sz val="10"/>
        <color rgb="FF002060"/>
        <rFont val="Arial"/>
        <family val="2"/>
      </rPr>
      <t>Wellenlänge λ</t>
    </r>
    <r>
      <rPr>
        <sz val="10"/>
        <color rgb="FF002060"/>
        <rFont val="Arial"/>
        <family val="2"/>
      </rPr>
      <t xml:space="preserve"> und der </t>
    </r>
    <r>
      <rPr>
        <b/>
        <sz val="10"/>
        <color rgb="FF002060"/>
        <rFont val="Arial"/>
        <family val="2"/>
      </rPr>
      <t xml:space="preserve">Temperatur T </t>
    </r>
    <r>
      <rPr>
        <sz val="10"/>
        <color rgb="FF002060"/>
        <rFont val="Arial"/>
        <family val="2"/>
      </rPr>
      <t xml:space="preserve">für </t>
    </r>
    <r>
      <rPr>
        <b/>
        <sz val="10"/>
        <color rgb="FF002060"/>
        <rFont val="Arial"/>
        <family val="2"/>
      </rPr>
      <t>iedal schwarze</t>
    </r>
    <r>
      <rPr>
        <sz val="10"/>
        <color rgb="FF002060"/>
        <rFont val="Arial"/>
        <family val="2"/>
      </rPr>
      <t xml:space="preserve"> Körper/Strahler.</t>
    </r>
  </si>
  <si>
    <t>Ein schwarzer Körper ist eine idealisierte thermische Strahlungsquelle. Die Ideali-</t>
  </si>
  <si>
    <t xml:space="preserve">sierung besteht darin, dass solch ein Körper alle auftreffende elektromagnetische </t>
  </si>
  <si>
    <t xml:space="preserve">Wellenlängen gute Übereinstimmung mit dem Planck-Gesetz ergibt. Bei kleinen </t>
  </si>
  <si>
    <t xml:space="preserve">Man kann mit einer Lichtwelle von 300 nm kein </t>
  </si>
  <si>
    <t>Fazit</t>
  </si>
  <si>
    <t>Objekt beobachten, das z. B. nur 10 nm groß ist.</t>
  </si>
  <si>
    <r>
      <rPr>
        <sz val="10"/>
        <color rgb="FF0070C0"/>
        <rFont val="Arial"/>
        <family val="2"/>
      </rPr>
      <t xml:space="preserve">Prof. H. Lesch     </t>
    </r>
    <r>
      <rPr>
        <u/>
        <sz val="10"/>
        <color rgb="FF0070C0"/>
        <rFont val="Arial"/>
        <family val="2"/>
      </rPr>
      <t>https://www.youtube.com/watch?v=L4pS2tBa7xU</t>
    </r>
    <r>
      <rPr>
        <sz val="10"/>
        <color rgb="FF0070C0"/>
        <rFont val="Arial"/>
        <family val="2"/>
      </rPr>
      <t xml:space="preserve">      45 min</t>
    </r>
  </si>
  <si>
    <r>
      <rPr>
        <sz val="10"/>
        <color rgb="FF0070C0"/>
        <rFont val="Arial"/>
        <family val="2"/>
      </rPr>
      <t xml:space="preserve">Prof. H. Lesch        </t>
    </r>
    <r>
      <rPr>
        <u/>
        <sz val="10"/>
        <color rgb="FF0070C0"/>
        <rFont val="Arial"/>
        <family val="2"/>
      </rPr>
      <t>https://www.youtube.com/watch?v=_oN3HJCY6RA</t>
    </r>
    <r>
      <rPr>
        <sz val="10"/>
        <color rgb="FF0070C0"/>
        <rFont val="Arial"/>
        <family val="2"/>
      </rPr>
      <t xml:space="preserve">        18 min</t>
    </r>
  </si>
  <si>
    <t>Kosmos &amp; Quanten</t>
  </si>
  <si>
    <t xml:space="preserve">Die Relationen gelten auch für makroskopische Dinge; die Unbestimmtheiten sind aber so ungeheuer viel </t>
  </si>
  <si>
    <t>In Literatur: Abweichung um Faktor 1,414 (Wurzel 2), je nach der Ausgangsformel</t>
  </si>
  <si>
    <t xml:space="preserve">von rund 9 Mrd. Jahren. Ist der Wasserstoff im Kern gänzlich in Helium umwandelt, geht das Wasser- </t>
  </si>
  <si>
    <t xml:space="preserve">stoffbrennen in einer Schale um den He-Kern weiter, was zur Expansion der Hülle führt.  </t>
  </si>
  <si>
    <r>
      <t>a</t>
    </r>
    <r>
      <rPr>
        <vertAlign val="subscript"/>
        <sz val="10"/>
        <color theme="1"/>
        <rFont val="Arial"/>
        <family val="2"/>
      </rPr>
      <t>Z</t>
    </r>
    <r>
      <rPr>
        <sz val="10"/>
        <color theme="1"/>
        <rFont val="Arial"/>
        <family val="2"/>
      </rPr>
      <t xml:space="preserve"> = v²/ r  und die Zentripedalkraft F</t>
    </r>
    <r>
      <rPr>
        <vertAlign val="subscript"/>
        <sz val="10"/>
        <color theme="1"/>
        <rFont val="Arial"/>
        <family val="2"/>
      </rPr>
      <t>Zp</t>
    </r>
    <r>
      <rPr>
        <sz val="10"/>
        <color theme="1"/>
        <rFont val="Arial"/>
        <family val="2"/>
      </rPr>
      <t xml:space="preserve"> = a</t>
    </r>
    <r>
      <rPr>
        <vertAlign val="subscript"/>
        <sz val="10"/>
        <color theme="1"/>
        <rFont val="Arial"/>
        <family val="2"/>
      </rPr>
      <t>Z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·</t>
    </r>
    <r>
      <rPr>
        <sz val="10"/>
        <color theme="1"/>
        <rFont val="Arial"/>
        <family val="2"/>
      </rPr>
      <t xml:space="preserve"> m</t>
    </r>
    <r>
      <rPr>
        <vertAlign val="sub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. Im freien Fall ist dafür auschließlich die Gravitation des Himmelskörpers die Ursache, so dass gilt:  m</t>
    </r>
    <r>
      <rPr>
        <vertAlign val="sub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 · v² / r = G · M · m</t>
    </r>
    <r>
      <rPr>
        <vertAlign val="subscript"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 xml:space="preserve"> / r². </t>
    </r>
  </si>
  <si>
    <r>
      <t>Radius: 8 km  /  Dichte 5508 | 4000 kg·m</t>
    </r>
    <r>
      <rPr>
        <vertAlign val="superscript"/>
        <sz val="11"/>
        <color rgb="FF002060"/>
        <rFont val="Arial"/>
        <family val="2"/>
      </rPr>
      <t>-3</t>
    </r>
    <r>
      <rPr>
        <sz val="11"/>
        <color rgb="FF002060"/>
        <rFont val="Arial"/>
        <family val="2"/>
      </rPr>
      <t xml:space="preserve">  /  Ergebnis: T = 5063 | 5942 Sekunden </t>
    </r>
  </si>
  <si>
    <t>kg∙m/s</t>
  </si>
  <si>
    <t xml:space="preserve"> kg∙m/s</t>
  </si>
  <si>
    <t>1. Prinzip der Relativität</t>
  </si>
  <si>
    <t>2. Prinzip der konstanten Lichtgeschwindigkeit</t>
  </si>
  <si>
    <t>Über die Gravitation wechselwirkt z. B. ein Apfel mit der Erde. Austausch- oder Botenteilchen ist in diesem Fall das Graviton (hypothetisch).</t>
  </si>
  <si>
    <r>
      <t xml:space="preserve">ist also eine Funktion der Zeit. Die Bewegung selbst findet aber nicht </t>
    </r>
    <r>
      <rPr>
        <b/>
        <sz val="10"/>
        <rFont val="Arial"/>
        <family val="2"/>
      </rPr>
      <t>"in"</t>
    </r>
    <r>
      <rPr>
        <sz val="10"/>
        <rFont val="Arial"/>
        <family val="2"/>
      </rPr>
      <t xml:space="preserve"> einem Inertialsystem statt. Das System dient allein dazu eine Bewegung </t>
    </r>
    <r>
      <rPr>
        <b/>
        <sz val="10"/>
        <rFont val="Arial"/>
        <family val="2"/>
      </rPr>
      <t>quantitativ</t>
    </r>
    <r>
      <rPr>
        <sz val="10"/>
        <rFont val="Arial"/>
        <family val="2"/>
      </rPr>
      <t xml:space="preserve"> zu beschreiben.</t>
    </r>
  </si>
  <si>
    <t xml:space="preserve">ändert sich "instantan" auch die Entfernung, </t>
  </si>
  <si>
    <t>sprich der Raum.</t>
  </si>
  <si>
    <t>Zeitdehnung</t>
  </si>
  <si>
    <t>https://www.youtube.com/watch?v=6VhtPuQbE4I</t>
  </si>
  <si>
    <r>
      <rPr>
        <b/>
        <sz val="11"/>
        <color theme="1"/>
        <rFont val="Arial"/>
        <family val="2"/>
      </rPr>
      <t>Maxwell</t>
    </r>
    <r>
      <rPr>
        <sz val="11"/>
        <color theme="1"/>
        <rFont val="Arial"/>
        <family val="2"/>
      </rPr>
      <t xml:space="preserve"> führte die Konstante ε0​ ein, die „Dielektrizitätskonstante des Vakuums“.</t>
    </r>
  </si>
  <si>
    <t>S. "Excel-Tab.: Kepler und Newton"</t>
  </si>
  <si>
    <t>Ereignishorizont / Schwarzes Loch / Schwarzschildradius:</t>
  </si>
  <si>
    <t>(Abgesehen von der Hawking-Strahlung)</t>
  </si>
  <si>
    <t>Herleitung Formel Fluchtgeschwindigkeit  15 min</t>
  </si>
  <si>
    <r>
      <t>Erde als schwarzes Loch v. r = 0,000008857 km (8,87 mm): Dann ist v</t>
    </r>
    <r>
      <rPr>
        <vertAlign val="subscript"/>
        <sz val="10"/>
        <color rgb="FF002060"/>
        <rFont val="Arial"/>
        <family val="2"/>
      </rPr>
      <t>F</t>
    </r>
    <r>
      <rPr>
        <sz val="10"/>
        <color rgb="FF002060"/>
        <rFont val="Arial"/>
        <family val="2"/>
      </rPr>
      <t xml:space="preserve"> = c (Lichtgeschw.)</t>
    </r>
  </si>
  <si>
    <t>(15 - 2 Mio. K)</t>
  </si>
  <si>
    <r>
      <t xml:space="preserve">Das </t>
    </r>
    <r>
      <rPr>
        <b/>
        <sz val="10"/>
        <color rgb="FF002060"/>
        <rFont val="Arial"/>
        <family val="2"/>
      </rPr>
      <t>anscheinend</t>
    </r>
    <r>
      <rPr>
        <sz val="10"/>
        <color rgb="FF002060"/>
        <rFont val="Arial"/>
        <family val="2"/>
      </rPr>
      <t xml:space="preserve"> Paradoxe an der Situation:</t>
    </r>
  </si>
  <si>
    <r>
      <t xml:space="preserve">auch nur 100 m lang, d. h. in Fahrtrichtung um den Lorentz-Faktor </t>
    </r>
    <r>
      <rPr>
        <b/>
        <sz val="10"/>
        <color rgb="FF002060"/>
        <rFont val="Arial"/>
        <family val="2"/>
      </rPr>
      <t>γ = 2</t>
    </r>
    <r>
      <rPr>
        <sz val="10"/>
        <color rgb="FF002060"/>
        <rFont val="Arial"/>
        <family val="2"/>
      </rPr>
      <t xml:space="preserve"> verkürzt und zwar  </t>
    </r>
  </si>
  <si>
    <t>mit allem drin und dran.</t>
  </si>
  <si>
    <t>Effekte zur Speziellen Relativitätstheorie SRT</t>
  </si>
  <si>
    <r>
      <t xml:space="preserve">Gibt an, wieviel </t>
    </r>
    <r>
      <rPr>
        <b/>
        <sz val="11"/>
        <color rgb="FF002060"/>
        <rFont val="Arial"/>
        <family val="2"/>
      </rPr>
      <t>Energie</t>
    </r>
    <r>
      <rPr>
        <sz val="11"/>
        <color theme="1"/>
        <rFont val="Arial"/>
        <family val="2"/>
      </rPr>
      <t xml:space="preserve"> das Teilchen besitzt. Masse und </t>
    </r>
  </si>
  <si>
    <t xml:space="preserve">es handelt sich um schwankende unscharfe Wesen aus der </t>
  </si>
  <si>
    <t>Positiv +/ negativ - / keine Ladung 0.</t>
  </si>
  <si>
    <r>
      <t xml:space="preserve">Energie sind äquivalent, nach Einstein: E = m </t>
    </r>
    <r>
      <rPr>
        <b/>
        <sz val="11"/>
        <color theme="1"/>
        <rFont val="Arial"/>
        <family val="2"/>
      </rPr>
      <t>·</t>
    </r>
    <r>
      <rPr>
        <sz val="11"/>
        <color theme="1"/>
        <rFont val="Arial"/>
        <family val="2"/>
      </rPr>
      <t xml:space="preserve"> c², Einheit eV.</t>
    </r>
  </si>
  <si>
    <t xml:space="preserve"> im Vakuum zurücklegt!</t>
  </si>
  <si>
    <t xml:space="preserve">             Das ist die Distanz, die Licht in </t>
  </si>
  <si>
    <t xml:space="preserve">theorie ins Spiel kommt. Der Zusammenhang zwischen der Zeitmessung auf der Erde und in der Rakete </t>
  </si>
  <si>
    <t xml:space="preserve">wird an einem Orts- (Raum-) Zeit-Diagramm klar. Dies wird anschaulicher, wenn man annimmt, dass sich </t>
  </si>
  <si>
    <t xml:space="preserve">Konstante C = </t>
  </si>
  <si>
    <r>
      <rPr>
        <sz val="10"/>
        <color rgb="FF0070C0"/>
        <rFont val="Arial"/>
        <family val="2"/>
      </rPr>
      <t xml:space="preserve">Kepplersche Gesetze, Simple Pysics   6 min   </t>
    </r>
    <r>
      <rPr>
        <u/>
        <sz val="10"/>
        <color rgb="FF0070C0"/>
        <rFont val="Arial"/>
        <family val="2"/>
      </rPr>
      <t>https://www.youtube.com/watch?v=UdxJl8G-ExQ</t>
    </r>
  </si>
  <si>
    <r>
      <rPr>
        <sz val="10"/>
        <color rgb="FF002060"/>
        <rFont val="Arial"/>
        <family val="2"/>
      </rPr>
      <t>Mit dem Urknall sind Raum und Zeit entstanden und Teilchen und Atome</t>
    </r>
    <r>
      <rPr>
        <b/>
        <sz val="10"/>
        <color rgb="FF002060"/>
        <rFont val="Arial"/>
        <family val="2"/>
      </rPr>
      <t>.</t>
    </r>
  </si>
  <si>
    <r>
      <t xml:space="preserve">   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Inertialsystem: Was ist das?</t>
    </r>
    <r>
      <rPr>
        <sz val="11"/>
        <color rgb="FFC00000"/>
        <rFont val="Arial"/>
        <family val="2"/>
      </rPr>
      <t xml:space="preserve"> </t>
    </r>
    <r>
      <rPr>
        <sz val="10"/>
        <color rgb="FFC00000"/>
        <rFont val="Arial"/>
        <family val="2"/>
      </rPr>
      <t>Siehe auch Text-Datei Seite 15.</t>
    </r>
  </si>
  <si>
    <t>Illustrationen zu diversen physikalischen Themen</t>
  </si>
  <si>
    <t xml:space="preserve">im bewegten Zug, bei dieser Releativgeschwindigkeit. Die Uhr im bewegten Zug geht nach, </t>
  </si>
  <si>
    <t xml:space="preserve">ergo vergeht die Zeit dort langsamer. Aus Sicht des Beobachters am Bahndamm ist der ICE </t>
  </si>
  <si>
    <t xml:space="preserve">auch die Reisende im ICE annehmen, dass sie in Ruhe ist und sich der Bahndamm samt </t>
  </si>
  <si>
    <t>Gleis mit der Relativ-Geschwindigkeit von v = 259628 km/s am "ruhenden" ICE längs bewegt.</t>
  </si>
  <si>
    <r>
      <rPr>
        <b/>
        <sz val="10"/>
        <color rgb="FF002060"/>
        <rFont val="Arial"/>
        <family val="2"/>
      </rPr>
      <t>Das ist o.k. so!</t>
    </r>
    <r>
      <rPr>
        <sz val="10"/>
        <color rgb="FFC00000"/>
        <rFont val="Arial"/>
        <family val="2"/>
      </rPr>
      <t xml:space="preserve"> Siehe</t>
    </r>
    <r>
      <rPr>
        <sz val="10"/>
        <color rgb="FFC00000"/>
        <rFont val="Calibri"/>
        <family val="2"/>
      </rPr>
      <t xml:space="preserve"> </t>
    </r>
    <r>
      <rPr>
        <sz val="10"/>
        <color rgb="FFC00000"/>
        <rFont val="Arial"/>
        <family val="2"/>
      </rPr>
      <t>Excel-Tab. "Tempolimit" und "Zwillingsparadoxon".</t>
    </r>
  </si>
  <si>
    <t xml:space="preserve">              Deutscher Physiker</t>
  </si>
  <si>
    <t>Siehe auch Excel-Tab. Kepler - Newton.</t>
  </si>
  <si>
    <r>
      <t xml:space="preserve">Quantenwelt, in der prinzipiell das </t>
    </r>
    <r>
      <rPr>
        <b/>
        <sz val="11"/>
        <color theme="1"/>
        <rFont val="Arial"/>
        <family val="2"/>
      </rPr>
      <t>Bilderverbot</t>
    </r>
    <r>
      <rPr>
        <sz val="11"/>
        <color theme="1"/>
        <rFont val="Arial"/>
        <family val="2"/>
      </rPr>
      <t xml:space="preserve">  gilt.</t>
    </r>
  </si>
  <si>
    <t>Eigendrehimpuls (nicht sehr als rotierende Bälle vorstellen),</t>
  </si>
  <si>
    <t xml:space="preserve"> Zellen sind zum Interagieren für Variable freigegeben.</t>
  </si>
  <si>
    <t xml:space="preserve"> 2,72548 K (-270,42 °C)</t>
  </si>
  <si>
    <r>
      <t>Der Hubble-Parameter beschreibt die</t>
    </r>
    <r>
      <rPr>
        <b/>
        <sz val="10"/>
        <color rgb="FF002060"/>
        <rFont val="Arial"/>
        <family val="2"/>
      </rPr>
      <t xml:space="preserve"> </t>
    </r>
    <r>
      <rPr>
        <b/>
        <u/>
        <sz val="10"/>
        <color rgb="FF002060"/>
        <rFont val="Arial"/>
        <family val="2"/>
      </rPr>
      <t>gegenwärtige Expansion</t>
    </r>
    <r>
      <rPr>
        <sz val="10"/>
        <color rgb="FF002060"/>
        <rFont val="Arial"/>
        <family val="2"/>
      </rPr>
      <t xml:space="preserve"> des Universums</t>
    </r>
  </si>
  <si>
    <r>
      <t xml:space="preserve">und ist somit </t>
    </r>
    <r>
      <rPr>
        <b/>
        <u/>
        <sz val="10"/>
        <color rgb="FF002060"/>
        <rFont val="Arial"/>
        <family val="2"/>
      </rPr>
      <t>keine</t>
    </r>
    <r>
      <rPr>
        <sz val="10"/>
        <color rgb="FF002060"/>
        <rFont val="Arial"/>
        <family val="2"/>
      </rPr>
      <t xml:space="preserve"> Konstante und muss immer mal wieder neu gemessen werden.</t>
    </r>
  </si>
  <si>
    <r>
      <t xml:space="preserve">Formel gilt </t>
    </r>
    <r>
      <rPr>
        <b/>
        <sz val="10"/>
        <color rgb="FFC00000"/>
        <rFont val="Arial"/>
        <family val="2"/>
      </rPr>
      <t xml:space="preserve">nicht </t>
    </r>
    <r>
      <rPr>
        <sz val="10"/>
        <color rgb="FFC00000"/>
        <rFont val="Arial"/>
        <family val="2"/>
      </rPr>
      <t>für rotierendes scharzes Loch!</t>
    </r>
  </si>
  <si>
    <t xml:space="preserve">                                 Galileo-Satelliten-Grund-Konstellation mit 30 Satelliten.</t>
  </si>
  <si>
    <t>werden also von der Masse</t>
  </si>
  <si>
    <t>sich die Graviationskonstante G</t>
  </si>
  <si>
    <r>
      <t xml:space="preserve">Mit der Konstanten </t>
    </r>
    <r>
      <rPr>
        <b/>
        <sz val="10"/>
        <color rgb="FFC00000"/>
        <rFont val="Arial"/>
        <family val="2"/>
      </rPr>
      <t>unten</t>
    </r>
    <r>
      <rPr>
        <sz val="10"/>
        <rFont val="Arial"/>
        <family val="2"/>
      </rPr>
      <t xml:space="preserve"> lässt</t>
    </r>
  </si>
  <si>
    <r>
      <rPr>
        <b/>
        <sz val="10"/>
        <color rgb="FFC00000"/>
        <rFont val="Arial"/>
        <family val="2"/>
      </rPr>
      <t>*)</t>
    </r>
    <r>
      <rPr>
        <sz val="10"/>
        <color rgb="FFC00000"/>
        <rFont val="Arial"/>
        <family val="2"/>
      </rPr>
      <t xml:space="preserve"> Sinngemäße Wiedergabe von Henry Perberton, zeitgenössischer Biograf Newtons.</t>
    </r>
  </si>
  <si>
    <t xml:space="preserve">Um die Größe der Gravitationskraft bei unterschiedlichen </t>
  </si>
  <si>
    <t>Abständen zu untersuchen, vergleicht man die Anziehungskräfte</t>
  </si>
  <si>
    <t>Erweiterung der Gleichung zur Berechnung der Zentripetalkraft FZ mit R²,</t>
  </si>
  <si>
    <t>Das ist die Ausgangsgleichung:</t>
  </si>
  <si>
    <t>(m kürzt sich heraus)</t>
  </si>
  <si>
    <r>
      <t xml:space="preserve"> 1 </t>
    </r>
    <r>
      <rPr>
        <b/>
        <sz val="10"/>
        <color rgb="FF002060"/>
        <rFont val="Calibri"/>
        <family val="2"/>
      </rPr>
      <t>∙</t>
    </r>
    <r>
      <rPr>
        <sz val="10"/>
        <color rgb="FF002060"/>
        <rFont val="Calibri"/>
        <family val="2"/>
      </rPr>
      <t xml:space="preserve"> </t>
    </r>
    <r>
      <rPr>
        <sz val="10"/>
        <color rgb="FF002060"/>
        <rFont val="Arial"/>
        <family val="2"/>
      </rPr>
      <t>10</t>
    </r>
    <r>
      <rPr>
        <vertAlign val="superscript"/>
        <sz val="10"/>
        <color rgb="FF002060"/>
        <rFont val="Arial"/>
        <family val="2"/>
      </rPr>
      <t>12</t>
    </r>
    <r>
      <rPr>
        <sz val="10"/>
        <color rgb="FF002060"/>
        <rFont val="Arial"/>
        <family val="2"/>
      </rPr>
      <t xml:space="preserve"> (1 Billion bzw.1000 Mrd.)</t>
    </r>
  </si>
  <si>
    <t xml:space="preserve">Der Pilot hält die Rakete mit Schub auf Distanz zum schwarzen Loch, während ein Mitglied der Besatzung den mutigen Prüfer im Fahrkorb per </t>
  </si>
  <si>
    <t xml:space="preserve">Sicherheits-Seilwinde über die Schwerkraft, peu a´ peu, nach unten gleiten lässt, dem schwarzen Loch entgegen. </t>
  </si>
  <si>
    <t xml:space="preserve">Bemerkt der Prüfer, beim Blick zur Rakete, dass ihr gelber Antriebsstahl nach und nach greller und bläulicher wird. Die Wellenlänge des Lichts </t>
  </si>
  <si>
    <r>
      <rPr>
        <sz val="10"/>
        <rFont val="Arial"/>
        <family val="2"/>
      </rPr>
      <t>Sicht v.</t>
    </r>
    <r>
      <rPr>
        <sz val="10"/>
        <color rgb="FF002060"/>
        <rFont val="Arial"/>
        <family val="2"/>
      </rPr>
      <t xml:space="preserve"> </t>
    </r>
    <r>
      <rPr>
        <sz val="10"/>
        <color rgb="FFC00000"/>
        <rFont val="Arial"/>
        <family val="2"/>
      </rPr>
      <t>"oben"</t>
    </r>
  </si>
  <si>
    <r>
      <rPr>
        <sz val="10"/>
        <rFont val="Arial"/>
        <family val="2"/>
      </rPr>
      <t xml:space="preserve">Sicht v. </t>
    </r>
    <r>
      <rPr>
        <sz val="10"/>
        <color rgb="FFC00000"/>
        <rFont val="Arial"/>
        <family val="2"/>
      </rPr>
      <t>"oben"</t>
    </r>
  </si>
  <si>
    <r>
      <rPr>
        <sz val="10"/>
        <rFont val="Arial"/>
        <family val="2"/>
      </rPr>
      <t>Sicht v.</t>
    </r>
    <r>
      <rPr>
        <sz val="10"/>
        <color rgb="FFC00000"/>
        <rFont val="Arial"/>
        <family val="2"/>
      </rPr>
      <t>"unten"</t>
    </r>
  </si>
  <si>
    <r>
      <rPr>
        <sz val="10"/>
        <rFont val="Arial"/>
        <family val="2"/>
      </rPr>
      <t xml:space="preserve"> Sicht v.</t>
    </r>
    <r>
      <rPr>
        <sz val="10"/>
        <color rgb="FFC00000"/>
        <rFont val="Arial"/>
        <family val="2"/>
      </rPr>
      <t>"unten"</t>
    </r>
  </si>
  <si>
    <t>Es können auch andere schwarze Löcher geprüft werden. Die Erde als Prüfobjekt auszuwählen hat aber den Charme, dass uns die Werte in der Zeile 2 der</t>
  </si>
  <si>
    <t>Tabelle vertraut sind und wir auf dieser Basis das Geschehen besser beurteilen und auch nachempfinden können.</t>
  </si>
  <si>
    <r>
      <t xml:space="preserve">Wenn sich der Prüfer dem schwarzen Loch mit Riesenschritten annähert </t>
    </r>
    <r>
      <rPr>
        <sz val="11"/>
        <color rgb="FF0070C0"/>
        <rFont val="Arial"/>
        <family val="2"/>
      </rPr>
      <t>(Spalte A der Tabelle unten)</t>
    </r>
    <r>
      <rPr>
        <b/>
        <sz val="11"/>
        <color rgb="FF0070C0"/>
        <rFont val="Arial"/>
        <family val="2"/>
      </rPr>
      <t>:</t>
    </r>
  </si>
  <si>
    <t>https://matheundphysik.de/Allgemeines/Dateien/Heft%20-%20Schwarze%20Loecher.pdf         Text, 29 Seiten</t>
  </si>
  <si>
    <r>
      <rPr>
        <sz val="10"/>
        <color rgb="FF0070C0"/>
        <rFont val="Arial"/>
        <family val="2"/>
      </rPr>
      <t xml:space="preserve">Dr. Alexy     </t>
    </r>
    <r>
      <rPr>
        <u/>
        <sz val="10"/>
        <color rgb="FF0070C0"/>
        <rFont val="Arial"/>
        <family val="2"/>
      </rPr>
      <t>https://www.google.com/search?client=firefox-b-d&amp;q=Die+entstehung+der+Kr%C3%A4fte+und+der+Teilchenzoo</t>
    </r>
    <r>
      <rPr>
        <sz val="10"/>
        <color rgb="FF0070C0"/>
        <rFont val="Arial"/>
        <family val="2"/>
      </rPr>
      <t xml:space="preserve">    12 min</t>
    </r>
  </si>
  <si>
    <t>Atomphysik!A1</t>
  </si>
  <si>
    <r>
      <rPr>
        <sz val="10"/>
        <color rgb="FF0070C0"/>
        <rFont val="Calibri"/>
        <family val="2"/>
        <scheme val="minor"/>
      </rPr>
      <t xml:space="preserve">Visualisierung Schrödinger Gleichung      Dr. Josef Gassner    </t>
    </r>
    <r>
      <rPr>
        <u/>
        <sz val="10"/>
        <color rgb="FF0070C0"/>
        <rFont val="Calibri"/>
        <family val="2"/>
        <scheme val="minor"/>
      </rPr>
      <t>https://www.youtube.com/watch?v=f10DjdezijE                22 min</t>
    </r>
  </si>
  <si>
    <r>
      <t xml:space="preserve">Ladung   Simple physics    </t>
    </r>
    <r>
      <rPr>
        <b/>
        <u/>
        <sz val="10"/>
        <color rgb="FF7030A0"/>
        <rFont val="Calibri"/>
        <family val="2"/>
        <scheme val="minor"/>
      </rPr>
      <t>https://www.youtube.com/watch?v=9sC0oX3n_WY</t>
    </r>
    <r>
      <rPr>
        <sz val="10"/>
        <color rgb="FF7030A0"/>
        <rFont val="Calibri"/>
        <family val="2"/>
        <scheme val="minor"/>
      </rPr>
      <t xml:space="preserve">     3 min </t>
    </r>
  </si>
  <si>
    <r>
      <rPr>
        <sz val="10"/>
        <color rgb="FF7030A0"/>
        <rFont val="Calibri"/>
        <family val="2"/>
        <scheme val="minor"/>
      </rPr>
      <t xml:space="preserve">Atom    Simple physics   </t>
    </r>
    <r>
      <rPr>
        <b/>
        <sz val="10"/>
        <color rgb="FF7030A0"/>
        <rFont val="Calibri"/>
        <family val="2"/>
        <scheme val="minor"/>
      </rPr>
      <t xml:space="preserve"> </t>
    </r>
    <r>
      <rPr>
        <b/>
        <u/>
        <sz val="10"/>
        <color rgb="FF7030A0"/>
        <rFont val="Calibri"/>
        <family val="2"/>
        <scheme val="minor"/>
      </rPr>
      <t>https://www.youtube.com/watch?v=BqeSHBgIRWI</t>
    </r>
    <r>
      <rPr>
        <sz val="10"/>
        <color rgb="FF7030A0"/>
        <rFont val="Calibri"/>
        <family val="2"/>
        <scheme val="minor"/>
      </rPr>
      <t xml:space="preserve">     5 min </t>
    </r>
  </si>
  <si>
    <t xml:space="preserve">         Bohrsches Atommodell</t>
  </si>
  <si>
    <r>
      <rPr>
        <b/>
        <sz val="9"/>
        <color theme="9" tint="-0.499984740745262"/>
        <rFont val="Arial"/>
        <family val="2"/>
      </rPr>
      <t xml:space="preserve">         </t>
    </r>
    <r>
      <rPr>
        <b/>
        <u/>
        <sz val="9"/>
        <color theme="9" tint="-0.499984740745262"/>
        <rFont val="Arial"/>
        <family val="2"/>
      </rPr>
      <t>Grafik: wikipedia.org</t>
    </r>
  </si>
  <si>
    <t xml:space="preserve">gesetz: Coulombkraft und Zentripedealkraft des kreisenden Elektrons heben sich auf. </t>
  </si>
  <si>
    <t>Die Gravitationswirkung Elektron - Atomkern ist vernachlässigbar gering (s. Seite 4).</t>
  </si>
  <si>
    <r>
      <t>Der Bahndrehimpuls L des Elektons ist ein ganzzahliges Vielfaches (n) von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 xml:space="preserve">h / 2π. </t>
    </r>
  </si>
  <si>
    <r>
      <t xml:space="preserve">h = Plancksches Wirkungsquantum = 6,62607 </t>
    </r>
    <r>
      <rPr>
        <sz val="10"/>
        <rFont val="Calibri"/>
        <family val="2"/>
      </rPr>
      <t>· 10</t>
    </r>
    <r>
      <rPr>
        <vertAlign val="superscript"/>
        <sz val="10"/>
        <rFont val="Calibri"/>
        <family val="2"/>
      </rPr>
      <t>-34</t>
    </r>
    <r>
      <rPr>
        <sz val="10"/>
        <rFont val="Calibri"/>
        <family val="2"/>
      </rPr>
      <t xml:space="preserve"> J·s</t>
    </r>
  </si>
  <si>
    <t xml:space="preserve">gleichberechtigt sind. Danach könnte Max behaupten er sei in Ruhe gewesen und Sepp hätte sich, samt </t>
  </si>
  <si>
    <t>Diese Grafik ist nur gültig für Beispiel v = 0,8 c und t = 20 a</t>
  </si>
  <si>
    <r>
      <t xml:space="preserve"> Exponentialfuktion (e-Funktion): f(x) = </t>
    </r>
    <r>
      <rPr>
        <b/>
        <sz val="11"/>
        <color theme="1"/>
        <rFont val="Arial"/>
        <family val="2"/>
      </rPr>
      <t>e</t>
    </r>
    <r>
      <rPr>
        <b/>
        <vertAlign val="superscript"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). Mit dieser Funktion lässt sich exponentielles </t>
    </r>
  </si>
  <si>
    <t xml:space="preserve"> Wachstum beschreiben. Natürlich rührt daher, weil sehr viele Abläufe in der Natur auf </t>
  </si>
  <si>
    <t xml:space="preserve"> Neben der Lichtgeschwindigkeit sind folgend noch von Belang:</t>
  </si>
  <si>
    <t xml:space="preserve">In Excel-Tab. "Phys. Konstanten" u. a. Werte für: </t>
  </si>
  <si>
    <t>Coulombkonstante</t>
  </si>
  <si>
    <t>k</t>
  </si>
  <si>
    <r>
      <t>N ∙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/ C</t>
    </r>
    <r>
      <rPr>
        <vertAlign val="superscript"/>
        <sz val="11"/>
        <color theme="1"/>
        <rFont val="Arial"/>
        <family val="2"/>
      </rPr>
      <t>2</t>
    </r>
  </si>
  <si>
    <t>Herbert Schneider  /  D65439 Flörsheim am Main – Wicker</t>
  </si>
  <si>
    <r>
      <rPr>
        <sz val="11"/>
        <rFont val="Arial"/>
        <family val="2"/>
      </rPr>
      <t xml:space="preserve">Formel: </t>
    </r>
    <r>
      <rPr>
        <b/>
        <sz val="1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k = 1 / (4 · π · ε</t>
    </r>
    <r>
      <rPr>
        <b/>
        <vertAlign val="subscript"/>
        <sz val="10"/>
        <color rgb="FF002060"/>
        <rFont val="Arial"/>
        <family val="2"/>
      </rPr>
      <t>0</t>
    </r>
    <r>
      <rPr>
        <b/>
        <sz val="10"/>
        <color rgb="FF002060"/>
        <rFont val="Arial"/>
        <family val="2"/>
      </rPr>
      <t>)</t>
    </r>
    <r>
      <rPr>
        <sz val="11"/>
        <color rgb="FF002060"/>
        <rFont val="Arial"/>
        <family val="2"/>
      </rPr>
      <t xml:space="preserve">   </t>
    </r>
    <r>
      <rPr>
        <sz val="11"/>
        <rFont val="Arial"/>
        <family val="2"/>
      </rPr>
      <t>Die Einheit ergibt sich direkt aus dem Coulombgesetz.</t>
    </r>
  </si>
  <si>
    <r>
      <t>F = N</t>
    </r>
    <r>
      <rPr>
        <vertAlign val="subscript"/>
        <sz val="10"/>
        <color rgb="FF002060"/>
        <rFont val="Arial"/>
        <family val="2"/>
      </rPr>
      <t>A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</rPr>
      <t>·</t>
    </r>
    <r>
      <rPr>
        <sz val="10"/>
        <color rgb="FF002060"/>
        <rFont val="Arial"/>
        <family val="2"/>
      </rPr>
      <t xml:space="preserve"> e</t>
    </r>
  </si>
  <si>
    <r>
      <rPr>
        <b/>
        <sz val="11"/>
        <rFont val="Arial"/>
        <family val="2"/>
      </rPr>
      <t xml:space="preserve">Optische </t>
    </r>
    <r>
      <rPr>
        <b/>
        <sz val="11"/>
        <color rgb="FFC00000"/>
        <rFont val="Arial"/>
        <family val="2"/>
      </rPr>
      <t xml:space="preserve">Rot- </t>
    </r>
    <r>
      <rPr>
        <b/>
        <sz val="11"/>
        <color theme="1"/>
        <rFont val="Arial"/>
        <family val="2"/>
      </rPr>
      <t xml:space="preserve">/ </t>
    </r>
    <r>
      <rPr>
        <b/>
        <sz val="11"/>
        <color rgb="FF0070C0"/>
        <rFont val="Arial"/>
        <family val="2"/>
      </rPr>
      <t>Blau-</t>
    </r>
    <r>
      <rPr>
        <b/>
        <sz val="11"/>
        <rFont val="Arial"/>
        <family val="2"/>
      </rPr>
      <t>Verschiebung</t>
    </r>
  </si>
  <si>
    <r>
      <t xml:space="preserve">wird die Wellenlänge größer, also nach </t>
    </r>
    <r>
      <rPr>
        <b/>
        <sz val="10"/>
        <color theme="9" tint="-0.499984740745262"/>
        <rFont val="Arial"/>
        <family val="2"/>
      </rPr>
      <t>rot</t>
    </r>
    <r>
      <rPr>
        <sz val="10"/>
        <color theme="1"/>
        <rFont val="Arial"/>
        <family val="2"/>
      </rPr>
      <t xml:space="preserve"> verschoben. Bei Annäherung wird sie</t>
    </r>
  </si>
  <si>
    <r>
      <t xml:space="preserve">kleiner, das bedeutet Verschiebung nach </t>
    </r>
    <r>
      <rPr>
        <b/>
        <sz val="10"/>
        <color rgb="FF0070C0"/>
        <rFont val="Arial"/>
        <family val="2"/>
      </rPr>
      <t>blau</t>
    </r>
    <r>
      <rPr>
        <sz val="10"/>
        <color theme="1"/>
        <rFont val="Arial"/>
        <family val="2"/>
      </rPr>
      <t xml:space="preserve">. Die </t>
    </r>
    <r>
      <rPr>
        <b/>
        <sz val="10"/>
        <color theme="9" tint="-0.499984740745262"/>
        <rFont val="Arial"/>
        <family val="2"/>
      </rPr>
      <t xml:space="preserve">Rot- </t>
    </r>
    <r>
      <rPr>
        <sz val="10"/>
        <color theme="1"/>
        <rFont val="Arial"/>
        <family val="2"/>
      </rPr>
      <t xml:space="preserve">/ </t>
    </r>
    <r>
      <rPr>
        <b/>
        <sz val="10"/>
        <color rgb="FF0070C0"/>
        <rFont val="Arial"/>
        <family val="2"/>
      </rPr>
      <t>Blau</t>
    </r>
    <r>
      <rPr>
        <sz val="10"/>
        <color theme="1"/>
        <rFont val="Arial"/>
        <family val="2"/>
      </rPr>
      <t>verschiebung "</t>
    </r>
    <r>
      <rPr>
        <b/>
        <sz val="10"/>
        <color theme="1"/>
        <rFont val="Arial"/>
        <family val="2"/>
      </rPr>
      <t>z</t>
    </r>
    <r>
      <rPr>
        <sz val="10"/>
        <color theme="1"/>
        <rFont val="Arial"/>
        <family val="2"/>
      </rPr>
      <t>"</t>
    </r>
  </si>
  <si>
    <t xml:space="preserve">unterscheiden. Die von Hubble gemessene kosmologische Rotverschiebung wird von der Expansion des Raumes und nicht durch die Bewegung der Objekte (Galaxien) bewirkt. </t>
  </si>
  <si>
    <t xml:space="preserve">wird. Mit Verlöschen der Kernfusion verschwindet der Strahlungsdruck </t>
  </si>
  <si>
    <t xml:space="preserve">Raumfahrer führt eine Uhr mit sich, die vor dem Start untereinander und mit der Uhr eines Beobachters im Ziel abgeglichen wurde. </t>
  </si>
  <si>
    <t xml:space="preserve"> gleiche Beziehung gilt auch für die Energie eines Teilchens und der Frequenz  seiner </t>
  </si>
  <si>
    <r>
      <t xml:space="preserve"> Ist das Verhältnis der Energie E zu der Frequenz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eines Photons, d. h.:  E = h </t>
    </r>
    <r>
      <rPr>
        <sz val="11"/>
        <color theme="1"/>
        <rFont val="Calibri"/>
        <family val="2"/>
      </rPr>
      <t>·</t>
    </r>
    <r>
      <rPr>
        <sz val="11"/>
        <color theme="1"/>
        <rFont val="Arial"/>
        <family val="2"/>
      </rPr>
      <t xml:space="preserve"> f. Die</t>
    </r>
  </si>
  <si>
    <r>
      <t xml:space="preserve"> quantenmechanischen Phase, sprich der Wellenlänge nach De Broglie:  λ = h / p  </t>
    </r>
    <r>
      <rPr>
        <sz val="11"/>
        <color theme="1"/>
        <rFont val="Calibri"/>
        <family val="2"/>
        <scheme val="minor"/>
      </rPr>
      <t>→</t>
    </r>
  </si>
  <si>
    <r>
      <t xml:space="preserve"> f = c / λ ,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Arial"/>
        <family val="2"/>
      </rPr>
      <t>siehe TAB "Sammelsurium" Seite 13, Dualismus Materie: Welle - Korpuskel.</t>
    </r>
  </si>
  <si>
    <r>
      <t xml:space="preserve">Die folgenden Ausführungen stammen sinngemäß aus </t>
    </r>
    <r>
      <rPr>
        <sz val="11"/>
        <color rgb="FFC00000"/>
        <rFont val="Arial"/>
        <family val="2"/>
      </rPr>
      <t>"Einstein light" von Martin Kornelius</t>
    </r>
    <r>
      <rPr>
        <sz val="11"/>
        <rFont val="Arial"/>
        <family val="2"/>
      </rPr>
      <t>:</t>
    </r>
  </si>
  <si>
    <r>
      <rPr>
        <sz val="9"/>
        <color rgb="FFC00000"/>
        <rFont val="Arial"/>
        <family val="2"/>
      </rPr>
      <t>Das ist ein mathematischer Grenzfall, keine echte Perspektive. Masse kann nicht auf c beschleunigt werden!</t>
    </r>
    <r>
      <rPr>
        <b/>
        <sz val="9"/>
        <color rgb="FFC00000"/>
        <rFont val="Arial"/>
        <family val="2"/>
      </rPr>
      <t xml:space="preserve"> Ergo: Entlang der Bahn eines Lichtteilchens vergeht keine Eigenzeit.</t>
    </r>
  </si>
  <si>
    <t>Hätte sich Raumfahrer A nur 30 km/s schneller bewegen können, wäre für ihn die Distanz auf 0 km gekürzt und an Bord keine Zeit vergangen (Photon, Licht). Ergo: Zeit = 0, Strecke = 0?</t>
  </si>
  <si>
    <t xml:space="preserve">wird kein Leben auf der Erde mehr möglich sein, jedenfalls nicht so, wie wir es kennen. Das ist eine </t>
  </si>
  <si>
    <t xml:space="preserve">auszugehen ist, dass sie mindestens solange leben, wie das Weltall alt </t>
  </si>
  <si>
    <t xml:space="preserve">ist, also rund 14 Mrd. Jahre. Rote Zwerge sind sehr leuchtschwach und </t>
  </si>
  <si>
    <t xml:space="preserve">dann reicht die Temperatur im Innern nicht mehr aus, um die Fusion von </t>
  </si>
  <si>
    <t xml:space="preserve">Helium zu höheren Elementen in Gang zu setzen; aus Roten Zwergen </t>
  </si>
  <si>
    <t>Weiße Zwerge (s. u.).</t>
  </si>
  <si>
    <t xml:space="preserve">werden daher keine Roten Riesen, sondern mehr oder weniger direkt </t>
  </si>
  <si>
    <t>darum mit bloßem Auge nicht zu sehen. Ist der Wasserstoff verbraucht,</t>
  </si>
  <si>
    <t>"Reflexionen über die Physik von Raum &amp; Zeit"</t>
  </si>
  <si>
    <r>
      <rPr>
        <sz val="10"/>
        <color rgb="FFC00000"/>
        <rFont val="Arial"/>
        <family val="2"/>
      </rPr>
      <t>Diese Excel-Datei steht im Kontext mit der Text-Datei</t>
    </r>
    <r>
      <rPr>
        <b/>
        <sz val="10"/>
        <color rgb="FFC00000"/>
        <rFont val="Arial"/>
        <family val="2"/>
      </rPr>
      <t xml:space="preserve"> Raum &amp; Zeit (Word)</t>
    </r>
    <r>
      <rPr>
        <sz val="10"/>
        <color rgb="FFC00000"/>
        <rFont val="Arial"/>
        <family val="2"/>
      </rPr>
      <t>:</t>
    </r>
    <r>
      <rPr>
        <b/>
        <sz val="10"/>
        <color rgb="FFC00000"/>
        <rFont val="Arial"/>
        <family val="2"/>
      </rPr>
      <t xml:space="preserve"> </t>
    </r>
  </si>
  <si>
    <r>
      <rPr>
        <b/>
        <sz val="12"/>
        <color rgb="FF002060"/>
        <rFont val="Calibri"/>
        <family val="2"/>
        <scheme val="minor"/>
      </rPr>
      <t>→</t>
    </r>
    <r>
      <rPr>
        <b/>
        <sz val="11"/>
        <color rgb="FF002060"/>
        <rFont val="Arial"/>
        <family val="2"/>
      </rPr>
      <t xml:space="preserve"> Flächen-Problem</t>
    </r>
    <r>
      <rPr>
        <b/>
        <sz val="11"/>
        <rFont val="Arial"/>
        <family val="2"/>
      </rPr>
      <t>,</t>
    </r>
    <r>
      <rPr>
        <sz val="11"/>
        <rFont val="Arial"/>
        <family val="2"/>
      </rPr>
      <t xml:space="preserve"> Lösung: Integralrechnung!</t>
    </r>
  </si>
  <si>
    <t xml:space="preserve">Um das Alter von Ötzi festzustellen wurde die sogenannte Radiokarbonmethode (C14 - Methode) verwendet: Es wird der noch vorhandene (noch nicht zerfallene) </t>
  </si>
  <si>
    <t xml:space="preserve">Anzahl der nicht zerfallenen Atomkerne zum Zeitpunkt t = 0: </t>
  </si>
  <si>
    <t xml:space="preserve">werden. Radioaktivität kommt natürlich vor und kann künstlich erzeugt werden, z. B. in Kernreaktoren oder Teilchenbeschleunigern. </t>
  </si>
  <si>
    <r>
      <t>Radioaktivität ist der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spontane</t>
    </r>
    <r>
      <rPr>
        <sz val="11"/>
        <color theme="1"/>
        <rFont val="Arial"/>
        <family val="2"/>
      </rPr>
      <t xml:space="preserve"> Zerfall instabiler Atomkerne, bei dem ionisierende Strahlung freigesetzt wird, in Form von </t>
    </r>
    <r>
      <rPr>
        <b/>
        <sz val="11"/>
        <color theme="1"/>
        <rFont val="Arial"/>
        <family val="2"/>
      </rPr>
      <t>Alpha-, Beta- und Gamma-Strahlen</t>
    </r>
    <r>
      <rPr>
        <sz val="11"/>
        <color theme="1"/>
        <rFont val="Arial"/>
        <family val="2"/>
      </rPr>
      <t xml:space="preserve">. </t>
    </r>
  </si>
  <si>
    <t>Position und Geschwindigkeit der Quarks) zwischen den Materieteilchen (Fermionen, Spin 1/2) durch Teilchen mit ganzzahligem Spin (0, 1, 2), d. h. den Bosonen,</t>
  </si>
  <si>
    <r>
      <t>Die kräftetragenden Teilchen, die</t>
    </r>
    <r>
      <rPr>
        <b/>
        <sz val="11"/>
        <color rgb="FF002060"/>
        <rFont val="Arial"/>
        <family val="2"/>
      </rPr>
      <t xml:space="preserve"> </t>
    </r>
    <r>
      <rPr>
        <b/>
        <u/>
        <sz val="11"/>
        <color rgb="FF002060"/>
        <rFont val="Arial"/>
        <family val="2"/>
      </rPr>
      <t>Bosonen</t>
    </r>
    <r>
      <rPr>
        <sz val="11"/>
        <color rgb="FF002060"/>
        <rFont val="Arial"/>
        <family val="2"/>
      </rPr>
      <t xml:space="preserve">, sind die </t>
    </r>
    <r>
      <rPr>
        <b/>
        <u/>
        <sz val="11"/>
        <color rgb="FF002060"/>
        <rFont val="Arial"/>
        <family val="2"/>
      </rPr>
      <t>Botenteilchen</t>
    </r>
    <r>
      <rPr>
        <sz val="11"/>
        <color rgb="FF002060"/>
        <rFont val="Arial"/>
        <family val="2"/>
      </rPr>
      <t xml:space="preserve"> der </t>
    </r>
    <r>
      <rPr>
        <b/>
        <sz val="11"/>
        <color rgb="FF002060"/>
        <rFont val="Arial"/>
        <family val="2"/>
      </rPr>
      <t>vier Grundkräfte der Physik.</t>
    </r>
  </si>
  <si>
    <t xml:space="preserve">Jedes Teilchen spürt die Schwerkraft je nach seiner Masse bzw. Energie. Nach der </t>
  </si>
  <si>
    <t xml:space="preserve">Quantenmechanik wird im Gravitationsfeld die Kraft zwischen zwei Materie-Teilchen </t>
  </si>
  <si>
    <t xml:space="preserve">durch das virtuelle Graviton getragen. Da seine Masse Null ist, ist die Reichweite  </t>
  </si>
  <si>
    <t xml:space="preserve">der Kraft, die es trägt, sehr groß, theoretisch unendlich. </t>
  </si>
  <si>
    <t>Das Graviton ist hypothetisch und noch nicht nachgewiesen.</t>
  </si>
  <si>
    <r>
      <t xml:space="preserve">Die elektromagnetische Kraft ist </t>
    </r>
    <r>
      <rPr>
        <b/>
        <sz val="11"/>
        <color rgb="FF002060"/>
        <rFont val="Arial"/>
        <family val="2"/>
      </rPr>
      <t>10</t>
    </r>
    <r>
      <rPr>
        <b/>
        <vertAlign val="superscript"/>
        <sz val="11"/>
        <color rgb="FF002060"/>
        <rFont val="Arial"/>
        <family val="2"/>
      </rPr>
      <t>41</t>
    </r>
    <r>
      <rPr>
        <b/>
        <sz val="11"/>
        <color rgb="FF002060"/>
        <rFont val="Arial"/>
        <family val="2"/>
      </rPr>
      <t xml:space="preserve"> mal </t>
    </r>
    <r>
      <rPr>
        <sz val="11"/>
        <color rgb="FF002060"/>
        <rFont val="Arial"/>
        <family val="2"/>
      </rPr>
      <t>stärker als die Gravitation und wirkt, je</t>
    </r>
  </si>
  <si>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Calibri"/>
        <family val="2"/>
      </rPr>
      <t>→</t>
    </r>
    <r>
      <rPr>
        <sz val="11"/>
        <color rgb="FF002060"/>
        <rFont val="Arial"/>
        <family val="2"/>
      </rPr>
      <t xml:space="preserve"> entspricht dem Alter der Probe</t>
    </r>
    <r>
      <rPr>
        <sz val="11"/>
        <color theme="1"/>
        <rFont val="Arial"/>
        <family val="2"/>
      </rPr>
      <t xml:space="preserve">:  </t>
    </r>
  </si>
  <si>
    <t xml:space="preserve">Betrachtungs-Zeitraum in Anzahl der Halbwertzeiten (iterativ variieren): </t>
  </si>
  <si>
    <r>
      <rPr>
        <sz val="11"/>
        <color rgb="FFC00000"/>
        <rFont val="Arial"/>
        <family val="2"/>
      </rPr>
      <t xml:space="preserve">N(t) ist durch iterative Eingabe der HWZ in Zelle D520 zu ermitteln </t>
    </r>
    <r>
      <rPr>
        <b/>
        <sz val="11"/>
        <color rgb="FFC00000"/>
        <rFont val="Calibri"/>
        <family val="2"/>
      </rPr>
      <t>→</t>
    </r>
    <r>
      <rPr>
        <sz val="11"/>
        <rFont val="Arial"/>
        <family val="2"/>
      </rPr>
      <t xml:space="preserve"> bei Ötzi wurde </t>
    </r>
    <r>
      <rPr>
        <sz val="11"/>
        <color rgb="FFC00000"/>
        <rFont val="Arial"/>
        <family val="2"/>
      </rPr>
      <t>N (t) = 6,36 · 10</t>
    </r>
    <r>
      <rPr>
        <vertAlign val="superscript"/>
        <sz val="11"/>
        <color rgb="FFC00000"/>
        <rFont val="Arial"/>
        <family val="2"/>
      </rPr>
      <t>-13</t>
    </r>
    <r>
      <rPr>
        <sz val="11"/>
        <rFont val="Arial"/>
        <family val="2"/>
      </rPr>
      <t xml:space="preserve"> gemessen (Zelle D530, normal sind N</t>
    </r>
    <r>
      <rPr>
        <vertAlign val="subscript"/>
        <sz val="11"/>
        <rFont val="Arial"/>
        <family val="2"/>
      </rPr>
      <t>0</t>
    </r>
    <r>
      <rPr>
        <sz val="11"/>
        <rFont val="Arial"/>
        <family val="2"/>
      </rPr>
      <t xml:space="preserve"> = 1,2 </t>
    </r>
    <r>
      <rPr>
        <b/>
        <sz val="11"/>
        <rFont val="Arial"/>
        <family val="2"/>
      </rPr>
      <t>·</t>
    </r>
    <r>
      <rPr>
        <sz val="11"/>
        <rFont val="Arial"/>
        <family val="2"/>
      </rPr>
      <t xml:space="preserve"> 10</t>
    </r>
    <r>
      <rPr>
        <b/>
        <vertAlign val="superscript"/>
        <sz val="11"/>
        <rFont val="Arial"/>
        <family val="2"/>
      </rPr>
      <t>-12</t>
    </r>
    <r>
      <rPr>
        <sz val="11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</si>
</sst>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0.000"/>
    <numFmt numFmtId="165" formatCode="0.000E+00"/>
    <numFmt numFmtId="166" formatCode="0.0"/>
    <numFmt numFmtId="167" formatCode="[$-F800]dddd\,\ mmmm\ dd\,\ yyyy"/>
    <numFmt numFmtId="168" formatCode="0.0000000000E+00"/>
    <numFmt numFmtId="169" formatCode="0.000000"/>
    <numFmt numFmtId="170" formatCode="0.000000E+00"/>
    <numFmt numFmtId="171" formatCode="0.0000000000"/>
    <numFmt numFmtId="172" formatCode="0.0000"/>
    <numFmt numFmtId="173" formatCode="0.00000000000000"/>
    <numFmt numFmtId="174" formatCode="0.00000"/>
    <numFmt numFmtId="175" formatCode="0.000000000"/>
    <numFmt numFmtId="176" formatCode="0.0000E+00"/>
    <numFmt numFmtId="177" formatCode="0.00000000"/>
    <numFmt numFmtId="178" formatCode="0.00000000000"/>
    <numFmt numFmtId="179" formatCode="0.00000E+00"/>
    <numFmt numFmtId="180" formatCode="0.0000000"/>
    <numFmt numFmtId="181" formatCode="0.0000000000000000"/>
    <numFmt numFmtId="182" formatCode="0.E+00"/>
    <numFmt numFmtId="183" formatCode="0.000000000000"/>
    <numFmt numFmtId="184" formatCode="[$-F400]h:mm:ss\ AM/PM"/>
    <numFmt numFmtId="185" formatCode="0.0000000E+00"/>
  </numFmts>
  <fonts count="26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u/>
      <sz val="11"/>
      <color rgb="FF002060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sz val="11"/>
      <color rgb="FFC00000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vertAlign val="subscript"/>
      <sz val="10"/>
      <color rgb="FF002060"/>
      <name val="Arial"/>
      <family val="2"/>
    </font>
    <font>
      <vertAlign val="superscript"/>
      <sz val="10"/>
      <color rgb="FF00206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00206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vertAlign val="superscript"/>
      <sz val="10"/>
      <color rgb="FF002060"/>
      <name val="Arial"/>
      <family val="2"/>
    </font>
    <font>
      <sz val="10"/>
      <color rgb="FF002060"/>
      <name val="Wingdings"/>
      <charset val="2"/>
    </font>
    <font>
      <sz val="12"/>
      <color theme="1"/>
      <name val="Calibri"/>
      <family val="2"/>
      <scheme val="minor"/>
    </font>
    <font>
      <sz val="10"/>
      <color rgb="FF002060"/>
      <name val="Calibri"/>
      <family val="2"/>
    </font>
    <font>
      <b/>
      <sz val="11"/>
      <color rgb="FF002060"/>
      <name val="Arial"/>
      <family val="2"/>
    </font>
    <font>
      <u/>
      <sz val="13.2"/>
      <color theme="10"/>
      <name val="Calibri"/>
      <family val="2"/>
    </font>
    <font>
      <sz val="8"/>
      <color rgb="FF002060"/>
      <name val="Arial"/>
      <family val="2"/>
    </font>
    <font>
      <b/>
      <sz val="10"/>
      <color rgb="FFC00000"/>
      <name val="Arial"/>
      <family val="2"/>
    </font>
    <font>
      <b/>
      <u/>
      <sz val="11"/>
      <color theme="1"/>
      <name val="Arial"/>
      <family val="2"/>
    </font>
    <font>
      <sz val="12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Arial"/>
      <family val="2"/>
    </font>
    <font>
      <u/>
      <sz val="10"/>
      <color theme="10"/>
      <name val="Arial"/>
      <family val="2"/>
    </font>
    <font>
      <b/>
      <vertAlign val="subscript"/>
      <sz val="10"/>
      <color theme="1"/>
      <name val="Arial"/>
      <family val="2"/>
    </font>
    <font>
      <sz val="13.2"/>
      <color theme="10"/>
      <name val="Calibri"/>
      <family val="2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sz val="10"/>
      <color rgb="FF252525"/>
      <name val="Arial"/>
      <family val="2"/>
    </font>
    <font>
      <sz val="10"/>
      <color rgb="FF252525"/>
      <name val="Calibri"/>
      <family val="2"/>
    </font>
    <font>
      <sz val="11"/>
      <color rgb="FFC00000"/>
      <name val="Arial"/>
      <family val="2"/>
    </font>
    <font>
      <sz val="11"/>
      <color rgb="FF002060"/>
      <name val="Calibri"/>
      <family val="2"/>
    </font>
    <font>
      <vertAlign val="superscript"/>
      <sz val="11"/>
      <color rgb="FF002060"/>
      <name val="Arial"/>
      <family val="2"/>
    </font>
    <font>
      <b/>
      <u/>
      <sz val="10"/>
      <color rgb="FF002060"/>
      <name val="Arial"/>
      <family val="2"/>
    </font>
    <font>
      <sz val="11"/>
      <name val="Calibri"/>
      <family val="2"/>
    </font>
    <font>
      <sz val="11"/>
      <color rgb="FF00B0F0"/>
      <name val="Calibri"/>
      <family val="2"/>
      <scheme val="minor"/>
    </font>
    <font>
      <b/>
      <sz val="14"/>
      <color rgb="FF002060"/>
      <name val="Arial"/>
      <family val="2"/>
    </font>
    <font>
      <b/>
      <sz val="11"/>
      <color rgb="FF00206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1"/>
      <color rgb="FF00B050"/>
      <name val="Calibri"/>
      <family val="2"/>
    </font>
    <font>
      <sz val="12"/>
      <name val="Calibri"/>
      <family val="2"/>
      <scheme val="minor"/>
    </font>
    <font>
      <b/>
      <sz val="11"/>
      <color rgb="FF0070C0"/>
      <name val="Arial"/>
      <family val="2"/>
    </font>
    <font>
      <sz val="16"/>
      <color theme="1"/>
      <name val="Arial"/>
      <family val="2"/>
    </font>
    <font>
      <b/>
      <sz val="12"/>
      <color rgb="FFC00000"/>
      <name val="Arial"/>
      <family val="2"/>
    </font>
    <font>
      <b/>
      <sz val="9"/>
      <color rgb="FF002060"/>
      <name val="Arial"/>
      <family val="2"/>
    </font>
    <font>
      <vertAlign val="subscript"/>
      <sz val="11"/>
      <color rgb="FF002060"/>
      <name val="Arial"/>
      <family val="2"/>
    </font>
    <font>
      <sz val="10"/>
      <color rgb="FF002060"/>
      <name val="Calibri"/>
      <family val="2"/>
      <scheme val="minor"/>
    </font>
    <font>
      <b/>
      <vertAlign val="superscript"/>
      <sz val="11"/>
      <color rgb="FF002060"/>
      <name val="Arial"/>
      <family val="2"/>
    </font>
    <font>
      <b/>
      <sz val="11"/>
      <name val="Calibri"/>
      <family val="2"/>
    </font>
    <font>
      <b/>
      <vertAlign val="subscript"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002060"/>
      <name val="Calibri"/>
      <family val="2"/>
    </font>
    <font>
      <b/>
      <u/>
      <sz val="10"/>
      <color theme="1"/>
      <name val="Arial"/>
      <family val="2"/>
    </font>
    <font>
      <b/>
      <sz val="10"/>
      <color rgb="FF0070C0"/>
      <name val="Arial"/>
      <family val="2"/>
    </font>
    <font>
      <sz val="9"/>
      <color rgb="FF002060"/>
      <name val="Calibri"/>
      <family val="2"/>
    </font>
    <font>
      <sz val="10"/>
      <name val="Calibri"/>
      <family val="2"/>
    </font>
    <font>
      <b/>
      <sz val="12"/>
      <color rgb="FF002060"/>
      <name val="Calibri"/>
      <family val="2"/>
    </font>
    <font>
      <i/>
      <sz val="10"/>
      <color rgb="FF002060"/>
      <name val="Arial"/>
      <family val="2"/>
    </font>
    <font>
      <b/>
      <sz val="12"/>
      <color rgb="FF0070C0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</font>
    <font>
      <b/>
      <vertAlign val="subscript"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Bell MT"/>
      <family val="1"/>
    </font>
    <font>
      <u/>
      <sz val="11"/>
      <color rgb="FF002060"/>
      <name val="Arial"/>
      <family val="2"/>
    </font>
    <font>
      <b/>
      <vertAlign val="subscript"/>
      <sz val="18"/>
      <color theme="1"/>
      <name val="Calibri"/>
      <family val="2"/>
    </font>
    <font>
      <b/>
      <sz val="10"/>
      <color theme="9" tint="-0.499984740745262"/>
      <name val="Arial"/>
      <family val="2"/>
    </font>
    <font>
      <b/>
      <u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2"/>
      <color theme="1"/>
      <name val="Calibri"/>
      <family val="2"/>
    </font>
    <font>
      <vertAlign val="subscript"/>
      <sz val="12"/>
      <color theme="1"/>
      <name val="Arial"/>
      <family val="2"/>
    </font>
    <font>
      <vertAlign val="subscript"/>
      <sz val="12"/>
      <color theme="1"/>
      <name val="Calibri"/>
      <family val="2"/>
    </font>
    <font>
      <sz val="11"/>
      <color theme="6" tint="-0.499984740745262"/>
      <name val="Arial"/>
      <family val="2"/>
    </font>
    <font>
      <vertAlign val="superscript"/>
      <sz val="11"/>
      <color rgb="FF002060"/>
      <name val="Calibri"/>
      <family val="2"/>
    </font>
    <font>
      <b/>
      <sz val="11"/>
      <color rgb="FFA8C129"/>
      <name val="Arial"/>
      <family val="2"/>
    </font>
    <font>
      <b/>
      <sz val="11"/>
      <color rgb="FF00B05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theme="6" tint="-0.249977111117893"/>
      <name val="Arial"/>
      <family val="2"/>
    </font>
    <font>
      <b/>
      <vertAlign val="subscript"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Calibri"/>
      <family val="2"/>
    </font>
    <font>
      <b/>
      <sz val="10"/>
      <name val="Calibri"/>
      <family val="2"/>
    </font>
    <font>
      <b/>
      <sz val="11"/>
      <color rgb="FFC00000"/>
      <name val="Calibri"/>
      <family val="2"/>
    </font>
    <font>
      <sz val="10"/>
      <color rgb="FF0070C0"/>
      <name val="Arial"/>
      <family val="2"/>
    </font>
    <font>
      <vertAlign val="subscript"/>
      <sz val="10"/>
      <color rgb="FF002060"/>
      <name val="Calibri"/>
      <family val="2"/>
    </font>
    <font>
      <b/>
      <sz val="14"/>
      <color rgb="FFC00000"/>
      <name val="Calibri"/>
      <family val="2"/>
    </font>
    <font>
      <sz val="12"/>
      <color theme="8" tint="0.79998168889431442"/>
      <name val="Arial"/>
      <family val="2"/>
    </font>
    <font>
      <sz val="11"/>
      <color theme="8" tint="0.79998168889431442"/>
      <name val="Calibri"/>
      <family val="2"/>
      <scheme val="minor"/>
    </font>
    <font>
      <sz val="11"/>
      <color rgb="FF002060"/>
      <name val="Bell MT"/>
      <family val="1"/>
    </font>
    <font>
      <sz val="12"/>
      <name val="Calibri"/>
      <family val="2"/>
    </font>
    <font>
      <b/>
      <sz val="11"/>
      <color theme="9" tint="-0.499984740745262"/>
      <name val="Arial"/>
      <family val="2"/>
    </font>
    <font>
      <b/>
      <u/>
      <sz val="12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b/>
      <sz val="11"/>
      <color rgb="FF0070C0"/>
      <name val="Calibri"/>
      <family val="2"/>
    </font>
    <font>
      <b/>
      <sz val="11"/>
      <color rgb="FF7030A0"/>
      <name val="Arial"/>
      <family val="2"/>
    </font>
    <font>
      <b/>
      <u/>
      <sz val="11"/>
      <color rgb="FF7030A0"/>
      <name val="Arial"/>
      <family val="2"/>
    </font>
    <font>
      <u/>
      <sz val="11"/>
      <color rgb="FF7030A0"/>
      <name val="Arial"/>
      <family val="2"/>
    </font>
    <font>
      <u/>
      <sz val="13.2"/>
      <color rgb="FF7030A0"/>
      <name val="Calibri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vertAlign val="subscript"/>
      <sz val="11"/>
      <color rgb="FFC00000"/>
      <name val="Arial"/>
      <family val="2"/>
    </font>
    <font>
      <sz val="11"/>
      <color theme="9" tint="-0.499984740745262"/>
      <name val="Arial"/>
      <family val="2"/>
    </font>
    <font>
      <sz val="11"/>
      <color theme="8" tint="0.79998168889431442"/>
      <name val="Arial"/>
      <family val="2"/>
    </font>
    <font>
      <sz val="11"/>
      <color rgb="FF0070C0"/>
      <name val="Arial"/>
      <family val="2"/>
    </font>
    <font>
      <vertAlign val="superscript"/>
      <sz val="11"/>
      <color theme="1"/>
      <name val="Calibri"/>
      <family val="2"/>
    </font>
    <font>
      <sz val="12"/>
      <color rgb="FF002060"/>
      <name val="Calibri"/>
      <family val="2"/>
    </font>
    <font>
      <sz val="11"/>
      <color rgb="FF7030A0"/>
      <name val="Calibri"/>
      <family val="2"/>
      <scheme val="minor"/>
    </font>
    <font>
      <vertAlign val="subscript"/>
      <sz val="11"/>
      <name val="Arial"/>
      <family val="2"/>
    </font>
    <font>
      <b/>
      <sz val="10"/>
      <color rgb="FF7030A0"/>
      <name val="Arial"/>
      <family val="2"/>
    </font>
    <font>
      <b/>
      <sz val="12"/>
      <color theme="9" tint="-0.499984740745262"/>
      <name val="Arial"/>
      <family val="2"/>
    </font>
    <font>
      <b/>
      <vertAlign val="subscript"/>
      <sz val="11"/>
      <color rgb="FF002060"/>
      <name val="Arial"/>
      <family val="2"/>
    </font>
    <font>
      <vertAlign val="subscript"/>
      <sz val="14"/>
      <color theme="1"/>
      <name val="Arial"/>
      <family val="2"/>
    </font>
    <font>
      <b/>
      <vertAlign val="subscript"/>
      <sz val="14"/>
      <color rgb="FF002060"/>
      <name val="Arial"/>
      <family val="2"/>
    </font>
    <font>
      <b/>
      <u/>
      <sz val="10"/>
      <color rgb="FFC00000"/>
      <name val="Arial"/>
      <family val="2"/>
    </font>
    <font>
      <b/>
      <sz val="9"/>
      <color rgb="FFC00000"/>
      <name val="Arial"/>
      <family val="2"/>
    </font>
    <font>
      <sz val="14"/>
      <color theme="1"/>
      <name val="Arial"/>
      <family val="2"/>
    </font>
    <font>
      <b/>
      <u/>
      <sz val="11"/>
      <color rgb="FFC00000"/>
      <name val="Arial"/>
      <family val="2"/>
    </font>
    <font>
      <b/>
      <u/>
      <sz val="10"/>
      <color rgb="FF7030A0"/>
      <name val="Arial"/>
      <family val="2"/>
    </font>
    <font>
      <sz val="10"/>
      <color rgb="FF7030A0"/>
      <name val="Arial"/>
      <family val="2"/>
    </font>
    <font>
      <b/>
      <sz val="11"/>
      <color rgb="FF990033"/>
      <name val="Arial"/>
      <family val="2"/>
    </font>
    <font>
      <u/>
      <sz val="10"/>
      <color rgb="FF7030A0"/>
      <name val="Calibri"/>
      <family val="2"/>
    </font>
    <font>
      <b/>
      <u/>
      <sz val="10"/>
      <color theme="10"/>
      <name val="Arial"/>
      <family val="2"/>
    </font>
    <font>
      <b/>
      <sz val="11"/>
      <color rgb="FF800000"/>
      <name val="Arial"/>
      <family val="2"/>
    </font>
    <font>
      <b/>
      <sz val="11"/>
      <color theme="5" tint="0.59999389629810485"/>
      <name val="Arial"/>
      <family val="2"/>
    </font>
    <font>
      <sz val="11"/>
      <color theme="5" tint="0.59999389629810485"/>
      <name val="Calibri"/>
      <family val="2"/>
      <scheme val="minor"/>
    </font>
    <font>
      <sz val="11"/>
      <color theme="5" tint="0.59999389629810485"/>
      <name val="Arial"/>
      <family val="2"/>
    </font>
    <font>
      <b/>
      <sz val="11"/>
      <color theme="9" tint="-0.499984740745262"/>
      <name val="Calibri"/>
      <family val="2"/>
    </font>
    <font>
      <u/>
      <sz val="10"/>
      <color rgb="FF7030A0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sz val="11"/>
      <color theme="9" tint="-0.499984740745262"/>
      <name val="Calibri"/>
      <family val="2"/>
      <scheme val="minor"/>
    </font>
    <font>
      <b/>
      <sz val="11"/>
      <color rgb="FFFFC000"/>
      <name val="Arial"/>
      <family val="2"/>
    </font>
    <font>
      <b/>
      <sz val="12"/>
      <color theme="9" tint="-0.249977111117893"/>
      <name val="Arial"/>
      <family val="2"/>
    </font>
    <font>
      <b/>
      <sz val="12"/>
      <color theme="6" tint="-0.249977111117893"/>
      <name val="Arial"/>
      <family val="2"/>
    </font>
    <font>
      <b/>
      <vertAlign val="subscript"/>
      <sz val="12"/>
      <color theme="1"/>
      <name val="Calibri"/>
      <family val="2"/>
    </font>
    <font>
      <b/>
      <vertAlign val="superscript"/>
      <sz val="12"/>
      <color theme="1"/>
      <name val="Arial"/>
      <family val="2"/>
    </font>
    <font>
      <b/>
      <sz val="11"/>
      <color theme="6"/>
      <name val="Arial"/>
      <family val="2"/>
    </font>
    <font>
      <b/>
      <sz val="11"/>
      <color theme="6"/>
      <name val="Calibri"/>
      <family val="2"/>
    </font>
    <font>
      <u/>
      <sz val="10"/>
      <color theme="9" tint="-0.499984740745262"/>
      <name val="Arial"/>
      <family val="2"/>
    </font>
    <font>
      <u/>
      <sz val="10"/>
      <color rgb="FFC00000"/>
      <name val="Arial"/>
      <family val="2"/>
    </font>
    <font>
      <b/>
      <u/>
      <vertAlign val="superscript"/>
      <sz val="11"/>
      <color rgb="FF00206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color rgb="FFC00000"/>
      <name val="Arial"/>
      <family val="2"/>
    </font>
    <font>
      <b/>
      <u/>
      <sz val="12"/>
      <color rgb="FF002060"/>
      <name val="Arial"/>
      <family val="2"/>
    </font>
    <font>
      <b/>
      <sz val="10"/>
      <color theme="5" tint="-0.249977111117893"/>
      <name val="Arial"/>
      <family val="2"/>
    </font>
    <font>
      <sz val="9"/>
      <color rgb="FFC00000"/>
      <name val="Arial"/>
      <family val="2"/>
    </font>
    <font>
      <sz val="9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u/>
      <sz val="9"/>
      <color theme="9" tint="-0.499984740745262"/>
      <name val="Arial"/>
      <family val="2"/>
    </font>
    <font>
      <b/>
      <sz val="10"/>
      <color theme="9" tint="-0.499984740745262"/>
      <name val="Calibri"/>
      <family val="2"/>
    </font>
    <font>
      <sz val="11"/>
      <color rgb="FFF9F8BE"/>
      <name val="Calibri"/>
      <family val="2"/>
      <scheme val="minor"/>
    </font>
    <font>
      <vertAlign val="superscript"/>
      <sz val="10"/>
      <color rgb="FF00206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1"/>
      <color rgb="FF7030A0"/>
      <name val="Calibri"/>
      <family val="2"/>
    </font>
    <font>
      <sz val="10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color rgb="FFCC3300"/>
      <name val="Arial"/>
      <family val="2"/>
    </font>
    <font>
      <u/>
      <sz val="10"/>
      <color theme="10"/>
      <name val="Calibri"/>
      <family val="2"/>
    </font>
    <font>
      <u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</font>
    <font>
      <u/>
      <sz val="10"/>
      <color rgb="FF002060"/>
      <name val="Arial"/>
      <family val="2"/>
    </font>
    <font>
      <sz val="11"/>
      <color theme="8" tint="0.59999389629810485"/>
      <name val="Calibri"/>
      <family val="2"/>
      <scheme val="minor"/>
    </font>
    <font>
      <sz val="9"/>
      <color rgb="FFFF0000"/>
      <name val="Arial"/>
      <family val="2"/>
    </font>
    <font>
      <sz val="11"/>
      <color rgb="FF00B050"/>
      <name val="Arial"/>
      <family val="2"/>
    </font>
    <font>
      <b/>
      <sz val="11"/>
      <color theme="9" tint="-0.249977111117893"/>
      <name val="Arial"/>
      <family val="2"/>
    </font>
    <font>
      <b/>
      <sz val="10"/>
      <color rgb="FF002060"/>
      <name val="Calibri"/>
      <family val="2"/>
      <scheme val="minor"/>
    </font>
    <font>
      <b/>
      <sz val="12"/>
      <color theme="9" tint="-0.499984740745262"/>
      <name val="Calibri"/>
      <family val="2"/>
    </font>
    <font>
      <b/>
      <sz val="10"/>
      <color rgb="FFFF0000"/>
      <name val="Calibri"/>
      <family val="2"/>
    </font>
    <font>
      <u/>
      <sz val="9"/>
      <color theme="10"/>
      <name val="Arial"/>
      <family val="2"/>
    </font>
    <font>
      <sz val="10"/>
      <color rgb="FFC00000"/>
      <name val="Calibri"/>
      <family val="2"/>
    </font>
    <font>
      <sz val="9"/>
      <color rgb="FF7030A0"/>
      <name val="Arial"/>
      <family val="2"/>
    </font>
    <font>
      <u/>
      <sz val="10"/>
      <color rgb="FF7030A0"/>
      <name val="Calibri"/>
      <family val="2"/>
      <scheme val="minor"/>
    </font>
    <font>
      <b/>
      <sz val="12"/>
      <color rgb="FFC00000"/>
      <name val="Calibri"/>
      <family val="2"/>
    </font>
    <font>
      <u/>
      <sz val="11"/>
      <color theme="10"/>
      <name val="Arial"/>
      <family val="2"/>
    </font>
    <font>
      <u/>
      <sz val="11"/>
      <color theme="9" tint="-0.499984740745262"/>
      <name val="Arial"/>
      <family val="2"/>
    </font>
    <font>
      <b/>
      <u/>
      <sz val="9"/>
      <color rgb="FF7030A0"/>
      <name val="Arial"/>
      <family val="2"/>
    </font>
    <font>
      <u/>
      <sz val="9"/>
      <color rgb="FF7030A0"/>
      <name val="Arial"/>
      <family val="2"/>
    </font>
    <font>
      <b/>
      <sz val="9"/>
      <color rgb="FF7030A0"/>
      <name val="Arial"/>
      <family val="2"/>
    </font>
    <font>
      <u/>
      <sz val="9"/>
      <color rgb="FF7030A0"/>
      <name val="Calibri"/>
      <family val="2"/>
    </font>
    <font>
      <u/>
      <sz val="9"/>
      <color rgb="FF7030A0"/>
      <name val="Calibri"/>
      <family val="2"/>
      <scheme val="minor"/>
    </font>
    <font>
      <sz val="10"/>
      <color rgb="FF00B050"/>
      <name val="Arial"/>
      <family val="2"/>
    </font>
    <font>
      <sz val="11"/>
      <color rgb="FFF9F8BE"/>
      <name val="Arial"/>
      <family val="2"/>
    </font>
    <font>
      <sz val="9"/>
      <color rgb="FF0070C0"/>
      <name val="Arial"/>
      <family val="2"/>
    </font>
    <font>
      <u/>
      <sz val="9"/>
      <color rgb="FF0070C0"/>
      <name val="Arial"/>
      <family val="2"/>
    </font>
    <font>
      <sz val="9"/>
      <color rgb="FF0070C0"/>
      <name val="Calibri"/>
      <family val="2"/>
    </font>
    <font>
      <vertAlign val="superscript"/>
      <sz val="11"/>
      <color theme="1"/>
      <name val="Cambria"/>
      <family val="1"/>
    </font>
    <font>
      <b/>
      <sz val="8"/>
      <color rgb="FF00B050"/>
      <name val="Arial"/>
      <family val="2"/>
    </font>
    <font>
      <u/>
      <sz val="10"/>
      <color rgb="FF0070C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u/>
      <sz val="9"/>
      <color rgb="FFC00000"/>
      <name val="Arial"/>
      <family val="2"/>
    </font>
    <font>
      <b/>
      <sz val="9"/>
      <color rgb="FFC00000"/>
      <name val="Calibri"/>
      <family val="2"/>
    </font>
    <font>
      <b/>
      <sz val="9"/>
      <color theme="9" tint="-0.499984740745262"/>
      <name val="Calibri"/>
      <family val="2"/>
    </font>
    <font>
      <u/>
      <sz val="11"/>
      <color rgb="FF0070C0"/>
      <name val="Calibri"/>
      <family val="2"/>
    </font>
    <font>
      <sz val="11"/>
      <color rgb="FF0070C0"/>
      <name val="Calibri"/>
      <family val="2"/>
    </font>
    <font>
      <u/>
      <sz val="10"/>
      <name val="Arial"/>
      <family val="2"/>
    </font>
    <font>
      <u/>
      <sz val="10"/>
      <color rgb="FF0070C0"/>
      <name val="Calibri"/>
      <family val="2"/>
    </font>
    <font>
      <sz val="10"/>
      <color rgb="FFF9F8BE"/>
      <name val="Arial"/>
      <family val="2"/>
    </font>
    <font>
      <b/>
      <sz val="9"/>
      <color rgb="FF0070C0"/>
      <name val="Calibri"/>
      <family val="2"/>
      <scheme val="minor"/>
    </font>
    <font>
      <b/>
      <sz val="9"/>
      <color theme="1"/>
      <name val="Calibri"/>
      <family val="2"/>
    </font>
    <font>
      <sz val="10"/>
      <color rgb="FF0070C0"/>
      <name val="Calibri"/>
      <family val="2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mbria Math"/>
      <family val="1"/>
    </font>
    <font>
      <b/>
      <sz val="12"/>
      <name val="Calibri"/>
      <family val="2"/>
    </font>
    <font>
      <b/>
      <vertAlign val="subscript"/>
      <sz val="12"/>
      <name val="Arial"/>
      <family val="2"/>
    </font>
    <font>
      <b/>
      <vertAlign val="subscript"/>
      <sz val="12"/>
      <name val="Calibri"/>
      <family val="2"/>
    </font>
    <font>
      <b/>
      <u/>
      <sz val="9"/>
      <color rgb="FFC00000"/>
      <name val="Calibri"/>
      <family val="2"/>
    </font>
    <font>
      <i/>
      <sz val="16"/>
      <color theme="1"/>
      <name val="MathJax_Math"/>
    </font>
    <font>
      <b/>
      <sz val="11"/>
      <color theme="0"/>
      <name val="Arial"/>
      <family val="2"/>
    </font>
    <font>
      <b/>
      <vertAlign val="subscript"/>
      <sz val="11"/>
      <color rgb="FFFF0000"/>
      <name val="Arial"/>
      <family val="2"/>
    </font>
    <font>
      <b/>
      <sz val="11"/>
      <color theme="6" tint="-0.499984740745262"/>
      <name val="Arial"/>
      <family val="2"/>
    </font>
    <font>
      <b/>
      <sz val="8"/>
      <color rgb="FF002060"/>
      <name val="Arial"/>
      <family val="2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rgb="FF002060"/>
      <name val="Calibri"/>
      <family val="2"/>
    </font>
    <font>
      <sz val="11"/>
      <color theme="10"/>
      <name val="Calibri"/>
      <family val="2"/>
    </font>
    <font>
      <b/>
      <u/>
      <sz val="11"/>
      <color rgb="FF7030A0"/>
      <name val="Calibri"/>
      <family val="2"/>
    </font>
    <font>
      <b/>
      <sz val="10"/>
      <color rgb="FF7030A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color theme="6" tint="0.79998168889431442"/>
      <name val="Arial"/>
      <family val="2"/>
    </font>
    <font>
      <sz val="10"/>
      <color theme="1"/>
      <name val="Cambria Math"/>
      <family val="1"/>
    </font>
    <font>
      <b/>
      <vertAlign val="superscript"/>
      <sz val="11"/>
      <name val="Arial"/>
      <family val="2"/>
    </font>
    <font>
      <sz val="11"/>
      <color rgb="FFFF0000"/>
      <name val="Calibri"/>
      <family val="2"/>
      <scheme val="minor"/>
    </font>
    <font>
      <b/>
      <u/>
      <sz val="10"/>
      <color rgb="FF7030A0"/>
      <name val="Calibri"/>
      <family val="2"/>
      <scheme val="minor"/>
    </font>
    <font>
      <vertAlign val="superscript"/>
      <sz val="10"/>
      <name val="Calibri"/>
      <family val="2"/>
    </font>
    <font>
      <b/>
      <sz val="12"/>
      <color rgb="FF002060"/>
      <name val="Calibri"/>
      <family val="2"/>
      <scheme val="minor"/>
    </font>
    <font>
      <vertAlign val="superscript"/>
      <sz val="11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8B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2472">
    <xf numFmtId="0" fontId="0" fillId="0" borderId="0" xfId="0"/>
    <xf numFmtId="0" fontId="5" fillId="0" borderId="0" xfId="0" applyFont="1"/>
    <xf numFmtId="0" fontId="0" fillId="0" borderId="0" xfId="0" applyFont="1"/>
    <xf numFmtId="0" fontId="3" fillId="0" borderId="0" xfId="0" applyFont="1"/>
    <xf numFmtId="0" fontId="0" fillId="0" borderId="0" xfId="0" applyFill="1"/>
    <xf numFmtId="0" fontId="9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5" fillId="0" borderId="0" xfId="0" applyFont="1" applyFill="1"/>
    <xf numFmtId="0" fontId="3" fillId="0" borderId="0" xfId="0" applyFont="1" applyAlignment="1">
      <alignment horizontal="center"/>
    </xf>
    <xf numFmtId="11" fontId="3" fillId="0" borderId="0" xfId="0" applyNumberFormat="1" applyFont="1" applyFill="1" applyBorder="1"/>
    <xf numFmtId="0" fontId="0" fillId="0" borderId="0" xfId="0" applyFont="1" applyFill="1"/>
    <xf numFmtId="0" fontId="3" fillId="0" borderId="0" xfId="0" applyFont="1" applyAlignment="1"/>
    <xf numFmtId="2" fontId="3" fillId="0" borderId="0" xfId="0" applyNumberFormat="1" applyFont="1"/>
    <xf numFmtId="165" fontId="3" fillId="0" borderId="0" xfId="0" applyNumberFormat="1" applyFont="1"/>
    <xf numFmtId="11" fontId="3" fillId="0" borderId="0" xfId="0" applyNumberFormat="1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165" fontId="2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59" fillId="0" borderId="0" xfId="0" applyFont="1"/>
    <xf numFmtId="175" fontId="0" fillId="0" borderId="0" xfId="0" applyNumberFormat="1"/>
    <xf numFmtId="0" fontId="0" fillId="0" borderId="0" xfId="0" applyFont="1" applyAlignment="1">
      <alignment horizontal="center"/>
    </xf>
    <xf numFmtId="16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66" fillId="0" borderId="0" xfId="0" applyFont="1" applyFill="1"/>
    <xf numFmtId="0" fontId="0" fillId="0" borderId="0" xfId="0" applyFill="1" applyBorder="1"/>
    <xf numFmtId="164" fontId="0" fillId="0" borderId="0" xfId="0" applyNumberFormat="1" applyAlignment="1">
      <alignment horizontal="right"/>
    </xf>
    <xf numFmtId="177" fontId="3" fillId="3" borderId="1" xfId="0" applyNumberFormat="1" applyFont="1" applyFill="1" applyBorder="1" applyAlignment="1">
      <alignment horizontal="right"/>
    </xf>
    <xf numFmtId="0" fontId="21" fillId="0" borderId="0" xfId="0" applyFont="1" applyFill="1" applyBorder="1"/>
    <xf numFmtId="172" fontId="3" fillId="0" borderId="0" xfId="0" applyNumberFormat="1" applyFont="1"/>
    <xf numFmtId="0" fontId="0" fillId="4" borderId="2" xfId="0" applyFill="1" applyBorder="1"/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172" fontId="3" fillId="3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9" fontId="3" fillId="3" borderId="1" xfId="0" applyNumberFormat="1" applyFont="1" applyFill="1" applyBorder="1" applyAlignment="1">
      <alignment vertical="center"/>
    </xf>
    <xf numFmtId="174" fontId="41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right" vertical="center"/>
    </xf>
    <xf numFmtId="175" fontId="3" fillId="3" borderId="1" xfId="0" applyNumberFormat="1" applyFont="1" applyFill="1" applyBorder="1" applyAlignment="1">
      <alignment vertical="center"/>
    </xf>
    <xf numFmtId="175" fontId="8" fillId="3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ill="1" applyProtection="1"/>
    <xf numFmtId="0" fontId="3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0" fontId="0" fillId="6" borderId="2" xfId="0" applyFill="1" applyBorder="1" applyProtection="1"/>
    <xf numFmtId="0" fontId="1" fillId="6" borderId="3" xfId="0" applyFont="1" applyFill="1" applyBorder="1" applyProtection="1"/>
    <xf numFmtId="0" fontId="0" fillId="0" borderId="0" xfId="0" applyFill="1" applyAlignment="1">
      <alignment vertical="center"/>
    </xf>
    <xf numFmtId="0" fontId="21" fillId="0" borderId="0" xfId="0" applyFont="1" applyFill="1" applyAlignment="1" applyProtection="1"/>
    <xf numFmtId="0" fontId="2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Protection="1"/>
    <xf numFmtId="0" fontId="5" fillId="0" borderId="0" xfId="0" applyFont="1" applyFill="1"/>
    <xf numFmtId="0" fontId="9" fillId="0" borderId="0" xfId="0" applyFont="1" applyFill="1"/>
    <xf numFmtId="0" fontId="5" fillId="0" borderId="0" xfId="0" applyFont="1" applyFill="1" applyAlignment="1"/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Protection="1"/>
    <xf numFmtId="165" fontId="3" fillId="2" borderId="1" xfId="0" applyNumberFormat="1" applyFont="1" applyFill="1" applyBorder="1" applyAlignment="1" applyProtection="1">
      <alignment vertical="center"/>
    </xf>
    <xf numFmtId="0" fontId="0" fillId="6" borderId="1" xfId="0" applyFill="1" applyBorder="1" applyProtection="1"/>
    <xf numFmtId="0" fontId="0" fillId="6" borderId="3" xfId="0" applyFill="1" applyBorder="1" applyProtection="1"/>
    <xf numFmtId="0" fontId="0" fillId="6" borderId="4" xfId="0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/>
    <xf numFmtId="0" fontId="3" fillId="9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top"/>
    </xf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right"/>
    </xf>
    <xf numFmtId="0" fontId="3" fillId="9" borderId="0" xfId="0" applyFont="1" applyFill="1" applyBorder="1" applyAlignment="1"/>
    <xf numFmtId="172" fontId="2" fillId="9" borderId="0" xfId="0" applyNumberFormat="1" applyFont="1" applyFill="1" applyBorder="1"/>
    <xf numFmtId="164" fontId="2" fillId="9" borderId="0" xfId="0" applyNumberFormat="1" applyFont="1" applyFill="1" applyBorder="1"/>
    <xf numFmtId="175" fontId="2" fillId="9" borderId="0" xfId="0" applyNumberFormat="1" applyFont="1" applyFill="1" applyBorder="1"/>
    <xf numFmtId="175" fontId="51" fillId="9" borderId="0" xfId="0" applyNumberFormat="1" applyFont="1" applyFill="1" applyBorder="1"/>
    <xf numFmtId="0" fontId="29" fillId="9" borderId="0" xfId="0" applyFont="1" applyFill="1" applyBorder="1" applyAlignment="1">
      <alignment horizontal="right"/>
    </xf>
    <xf numFmtId="173" fontId="2" fillId="9" borderId="0" xfId="0" applyNumberFormat="1" applyFont="1" applyFill="1" applyBorder="1"/>
    <xf numFmtId="2" fontId="2" fillId="9" borderId="0" xfId="0" applyNumberFormat="1" applyFont="1" applyFill="1" applyBorder="1"/>
    <xf numFmtId="165" fontId="2" fillId="9" borderId="0" xfId="0" applyNumberFormat="1" applyFont="1" applyFill="1" applyBorder="1"/>
    <xf numFmtId="0" fontId="94" fillId="9" borderId="0" xfId="0" applyFont="1" applyFill="1" applyBorder="1" applyAlignment="1">
      <alignment horizontal="center"/>
    </xf>
    <xf numFmtId="0" fontId="36" fillId="9" borderId="0" xfId="0" applyFont="1" applyFill="1" applyBorder="1" applyAlignment="1">
      <alignment horizontal="right"/>
    </xf>
    <xf numFmtId="0" fontId="36" fillId="9" borderId="0" xfId="0" applyFont="1" applyFill="1" applyBorder="1"/>
    <xf numFmtId="0" fontId="29" fillId="9" borderId="0" xfId="0" applyFont="1" applyFill="1" applyBorder="1" applyAlignment="1">
      <alignment horizontal="left"/>
    </xf>
    <xf numFmtId="0" fontId="20" fillId="9" borderId="0" xfId="0" applyFont="1" applyFill="1" applyBorder="1" applyAlignment="1" applyProtection="1">
      <alignment horizontal="left"/>
    </xf>
    <xf numFmtId="0" fontId="0" fillId="9" borderId="0" xfId="0" applyFill="1" applyAlignment="1">
      <alignment vertical="center"/>
    </xf>
    <xf numFmtId="0" fontId="9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21" fillId="9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left"/>
    </xf>
    <xf numFmtId="0" fontId="25" fillId="9" borderId="0" xfId="0" applyFont="1" applyFill="1" applyBorder="1" applyAlignment="1">
      <alignment horizontal="right"/>
    </xf>
    <xf numFmtId="0" fontId="25" fillId="9" borderId="0" xfId="0" applyFont="1" applyFill="1" applyBorder="1" applyAlignment="1">
      <alignment horizontal="left"/>
    </xf>
    <xf numFmtId="0" fontId="41" fillId="9" borderId="0" xfId="0" applyFont="1" applyFill="1" applyBorder="1" applyAlignment="1">
      <alignment horizontal="right"/>
    </xf>
    <xf numFmtId="0" fontId="50" fillId="9" borderId="0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right"/>
    </xf>
    <xf numFmtId="0" fontId="8" fillId="9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left"/>
    </xf>
    <xf numFmtId="0" fontId="25" fillId="9" borderId="0" xfId="0" applyFont="1" applyFill="1" applyBorder="1" applyAlignment="1">
      <alignment horizontal="center"/>
    </xf>
    <xf numFmtId="1" fontId="29" fillId="9" borderId="0" xfId="0" applyNumberFormat="1" applyFont="1" applyFill="1" applyBorder="1" applyAlignment="1">
      <alignment horizontal="left"/>
    </xf>
    <xf numFmtId="1" fontId="27" fillId="9" borderId="0" xfId="0" applyNumberFormat="1" applyFont="1" applyFill="1" applyBorder="1" applyAlignment="1">
      <alignment horizontal="right"/>
    </xf>
    <xf numFmtId="0" fontId="51" fillId="9" borderId="0" xfId="0" applyFont="1" applyFill="1" applyBorder="1" applyAlignment="1">
      <alignment horizontal="right"/>
    </xf>
    <xf numFmtId="0" fontId="8" fillId="9" borderId="0" xfId="0" applyFont="1" applyFill="1" applyBorder="1" applyAlignment="1"/>
    <xf numFmtId="0" fontId="51" fillId="9" borderId="0" xfId="0" applyFont="1" applyFill="1" applyBorder="1" applyAlignment="1">
      <alignment horizontal="center"/>
    </xf>
    <xf numFmtId="0" fontId="51" fillId="9" borderId="0" xfId="0" applyFont="1" applyFill="1" applyBorder="1" applyAlignment="1">
      <alignment horizontal="left"/>
    </xf>
    <xf numFmtId="2" fontId="8" fillId="9" borderId="0" xfId="0" applyNumberFormat="1" applyFont="1" applyFill="1" applyBorder="1" applyAlignment="1">
      <alignment horizontal="center"/>
    </xf>
    <xf numFmtId="1" fontId="8" fillId="9" borderId="0" xfId="0" applyNumberFormat="1" applyFont="1" applyFill="1" applyBorder="1" applyAlignment="1">
      <alignment horizontal="center"/>
    </xf>
    <xf numFmtId="172" fontId="8" fillId="9" borderId="0" xfId="0" applyNumberFormat="1" applyFont="1" applyFill="1" applyBorder="1" applyAlignment="1">
      <alignment horizontal="right"/>
    </xf>
    <xf numFmtId="172" fontId="65" fillId="9" borderId="0" xfId="0" applyNumberFormat="1" applyFont="1" applyFill="1" applyBorder="1" applyAlignment="1">
      <alignment horizontal="left"/>
    </xf>
    <xf numFmtId="1" fontId="8" fillId="9" borderId="0" xfId="0" applyNumberFormat="1" applyFont="1" applyFill="1" applyBorder="1" applyAlignment="1">
      <alignment horizontal="left"/>
    </xf>
    <xf numFmtId="0" fontId="61" fillId="9" borderId="0" xfId="0" applyFont="1" applyFill="1" applyBorder="1" applyAlignment="1">
      <alignment horizontal="center"/>
    </xf>
    <xf numFmtId="1" fontId="8" fillId="10" borderId="1" xfId="0" applyNumberFormat="1" applyFont="1" applyFill="1" applyBorder="1" applyAlignment="1">
      <alignment horizontal="right" vertical="center"/>
    </xf>
    <xf numFmtId="0" fontId="0" fillId="6" borderId="2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8" fillId="6" borderId="2" xfId="0" applyFont="1" applyFill="1" applyBorder="1" applyAlignment="1">
      <alignment horizontal="right"/>
    </xf>
    <xf numFmtId="0" fontId="8" fillId="6" borderId="3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center"/>
    </xf>
    <xf numFmtId="0" fontId="5" fillId="9" borderId="0" xfId="0" applyFont="1" applyFill="1" applyBorder="1" applyAlignment="1" applyProtection="1">
      <alignment horizontal="right"/>
    </xf>
    <xf numFmtId="0" fontId="9" fillId="9" borderId="0" xfId="0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right"/>
    </xf>
    <xf numFmtId="1" fontId="1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0" fontId="20" fillId="9" borderId="0" xfId="0" applyFont="1" applyFill="1" applyBorder="1" applyAlignment="1" applyProtection="1">
      <alignment horizontal="center" vertical="top"/>
    </xf>
    <xf numFmtId="0" fontId="0" fillId="9" borderId="0" xfId="0" applyFont="1" applyFill="1" applyBorder="1" applyProtection="1"/>
    <xf numFmtId="0" fontId="9" fillId="9" borderId="0" xfId="0" applyFont="1" applyFill="1" applyBorder="1" applyAlignment="1" applyProtection="1">
      <alignment horizontal="left"/>
    </xf>
    <xf numFmtId="1" fontId="1" fillId="9" borderId="0" xfId="0" applyNumberFormat="1" applyFont="1" applyFill="1" applyBorder="1" applyProtection="1"/>
    <xf numFmtId="0" fontId="0" fillId="9" borderId="0" xfId="0" applyFill="1" applyBorder="1" applyProtection="1"/>
    <xf numFmtId="0" fontId="5" fillId="9" borderId="0" xfId="0" applyFont="1" applyFill="1" applyBorder="1" applyAlignment="1">
      <alignment horizontal="right"/>
    </xf>
    <xf numFmtId="0" fontId="8" fillId="9" borderId="0" xfId="0" applyFont="1" applyFill="1" applyBorder="1" applyAlignment="1" applyProtection="1">
      <alignment horizontal="left"/>
    </xf>
    <xf numFmtId="0" fontId="9" fillId="9" borderId="0" xfId="0" applyFont="1" applyFill="1" applyBorder="1" applyProtection="1"/>
    <xf numFmtId="1" fontId="8" fillId="9" borderId="0" xfId="0" applyNumberFormat="1" applyFont="1" applyFill="1" applyBorder="1" applyProtection="1"/>
    <xf numFmtId="0" fontId="21" fillId="9" borderId="0" xfId="0" applyFont="1" applyFill="1" applyBorder="1" applyAlignment="1" applyProtection="1">
      <alignment horizontal="left"/>
    </xf>
    <xf numFmtId="2" fontId="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center"/>
    </xf>
    <xf numFmtId="0" fontId="21" fillId="9" borderId="0" xfId="0" applyFont="1" applyFill="1" applyBorder="1" applyAlignment="1">
      <alignment horizontal="left" vertical="center"/>
    </xf>
    <xf numFmtId="0" fontId="21" fillId="9" borderId="0" xfId="0" applyFont="1" applyFill="1" applyBorder="1" applyAlignment="1">
      <alignment horizontal="left"/>
    </xf>
    <xf numFmtId="0" fontId="1" fillId="9" borderId="0" xfId="0" applyFont="1" applyFill="1" applyBorder="1" applyProtection="1"/>
    <xf numFmtId="0" fontId="1" fillId="9" borderId="0" xfId="0" applyFont="1" applyFill="1" applyBorder="1" applyAlignment="1" applyProtection="1">
      <alignment vertical="center"/>
    </xf>
    <xf numFmtId="0" fontId="21" fillId="9" borderId="0" xfId="0" applyFont="1" applyFill="1" applyBorder="1" applyAlignment="1"/>
    <xf numFmtId="0" fontId="21" fillId="9" borderId="0" xfId="0" applyFont="1" applyFill="1" applyBorder="1" applyAlignment="1" applyProtection="1">
      <alignment vertical="center"/>
    </xf>
    <xf numFmtId="0" fontId="21" fillId="9" borderId="0" xfId="0" applyFont="1" applyFill="1" applyBorder="1" applyAlignment="1" applyProtection="1">
      <alignment horizontal="left" vertical="center"/>
    </xf>
    <xf numFmtId="2" fontId="8" fillId="9" borderId="0" xfId="0" applyNumberFormat="1" applyFont="1" applyFill="1" applyBorder="1" applyAlignment="1" applyProtection="1">
      <alignment horizontal="right" vertical="center"/>
    </xf>
    <xf numFmtId="0" fontId="8" fillId="9" borderId="0" xfId="0" applyFont="1" applyFill="1" applyBorder="1" applyAlignment="1" applyProtection="1">
      <alignment horizontal="right"/>
    </xf>
    <xf numFmtId="0" fontId="36" fillId="9" borderId="0" xfId="0" applyFont="1" applyFill="1" applyBorder="1" applyAlignment="1" applyProtection="1">
      <alignment horizontal="left"/>
    </xf>
    <xf numFmtId="0" fontId="9" fillId="9" borderId="0" xfId="0" applyFont="1" applyFill="1" applyBorder="1" applyAlignment="1" applyProtection="1">
      <alignment horizontal="center"/>
    </xf>
    <xf numFmtId="1" fontId="9" fillId="9" borderId="0" xfId="0" applyNumberFormat="1" applyFont="1" applyFill="1" applyBorder="1" applyProtection="1"/>
    <xf numFmtId="1" fontId="14" fillId="9" borderId="0" xfId="0" applyNumberFormat="1" applyFont="1" applyFill="1" applyBorder="1" applyProtection="1"/>
    <xf numFmtId="0" fontId="112" fillId="9" borderId="0" xfId="0" applyFont="1" applyFill="1" applyBorder="1" applyAlignment="1" applyProtection="1">
      <alignment horizontal="center"/>
    </xf>
    <xf numFmtId="0" fontId="39" fillId="9" borderId="0" xfId="0" applyFont="1" applyFill="1" applyBorder="1" applyAlignment="1" applyProtection="1">
      <alignment horizontal="center"/>
    </xf>
    <xf numFmtId="0" fontId="49" fillId="9" borderId="0" xfId="0" applyFont="1" applyFill="1" applyBorder="1" applyAlignment="1" applyProtection="1">
      <alignment horizontal="right"/>
    </xf>
    <xf numFmtId="0" fontId="21" fillId="9" borderId="0" xfId="0" applyFont="1" applyFill="1" applyBorder="1" applyAlignment="1" applyProtection="1">
      <alignment horizontal="center"/>
    </xf>
    <xf numFmtId="0" fontId="13" fillId="9" borderId="0" xfId="0" applyFont="1" applyFill="1" applyBorder="1" applyAlignment="1" applyProtection="1">
      <alignment horizontal="right"/>
    </xf>
    <xf numFmtId="2" fontId="9" fillId="9" borderId="0" xfId="0" applyNumberFormat="1" applyFont="1" applyFill="1" applyBorder="1" applyAlignment="1" applyProtection="1">
      <alignment horizontal="right"/>
    </xf>
    <xf numFmtId="0" fontId="20" fillId="9" borderId="0" xfId="0" applyFont="1" applyFill="1" applyBorder="1" applyAlignment="1" applyProtection="1">
      <alignment horizontal="center"/>
    </xf>
    <xf numFmtId="165" fontId="3" fillId="9" borderId="0" xfId="0" applyNumberFormat="1" applyFont="1" applyFill="1" applyBorder="1" applyProtection="1"/>
    <xf numFmtId="1" fontId="3" fillId="9" borderId="0" xfId="0" applyNumberFormat="1" applyFont="1" applyFill="1" applyBorder="1" applyProtection="1"/>
    <xf numFmtId="0" fontId="5" fillId="9" borderId="0" xfId="0" applyFont="1" applyFill="1" applyBorder="1" applyAlignment="1" applyProtection="1">
      <alignment horizontal="center"/>
    </xf>
    <xf numFmtId="0" fontId="0" fillId="9" borderId="0" xfId="0" applyFont="1" applyFill="1" applyBorder="1" applyAlignment="1" applyProtection="1">
      <alignment horizontal="right"/>
    </xf>
    <xf numFmtId="2" fontId="3" fillId="9" borderId="0" xfId="0" applyNumberFormat="1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right" wrapText="1"/>
    </xf>
    <xf numFmtId="0" fontId="6" fillId="9" borderId="0" xfId="0" applyFont="1" applyFill="1" applyBorder="1" applyAlignment="1" applyProtection="1">
      <alignment horizontal="center"/>
    </xf>
    <xf numFmtId="0" fontId="14" fillId="9" borderId="0" xfId="0" applyFont="1" applyFill="1" applyBorder="1" applyAlignment="1" applyProtection="1">
      <alignment horizontal="left"/>
    </xf>
    <xf numFmtId="0" fontId="9" fillId="9" borderId="0" xfId="0" applyFont="1" applyFill="1" applyBorder="1" applyAlignment="1" applyProtection="1"/>
    <xf numFmtId="0" fontId="14" fillId="9" borderId="0" xfId="0" applyFont="1" applyFill="1" applyBorder="1" applyProtection="1"/>
    <xf numFmtId="166" fontId="14" fillId="9" borderId="0" xfId="0" applyNumberFormat="1" applyFont="1" applyFill="1" applyBorder="1" applyAlignment="1" applyProtection="1">
      <alignment horizontal="right"/>
    </xf>
    <xf numFmtId="1" fontId="9" fillId="9" borderId="0" xfId="0" applyNumberFormat="1" applyFont="1" applyFill="1" applyBorder="1" applyAlignment="1" applyProtection="1">
      <alignment horizontal="right"/>
    </xf>
    <xf numFmtId="176" fontId="3" fillId="9" borderId="0" xfId="0" applyNumberFormat="1" applyFont="1" applyFill="1" applyBorder="1" applyProtection="1"/>
    <xf numFmtId="1" fontId="3" fillId="9" borderId="0" xfId="0" applyNumberFormat="1" applyFont="1" applyFill="1" applyBorder="1" applyAlignment="1" applyProtection="1">
      <alignment horizontal="right"/>
    </xf>
    <xf numFmtId="11" fontId="3" fillId="9" borderId="0" xfId="0" applyNumberFormat="1" applyFont="1" applyFill="1" applyBorder="1" applyAlignment="1" applyProtection="1">
      <alignment horizontal="right"/>
    </xf>
    <xf numFmtId="11" fontId="9" fillId="9" borderId="0" xfId="0" applyNumberFormat="1" applyFont="1" applyFill="1" applyBorder="1" applyAlignment="1" applyProtection="1">
      <alignment horizontal="left"/>
    </xf>
    <xf numFmtId="0" fontId="14" fillId="9" borderId="0" xfId="0" applyFont="1" applyFill="1" applyBorder="1" applyAlignment="1" applyProtection="1">
      <alignment horizontal="right"/>
    </xf>
    <xf numFmtId="0" fontId="3" fillId="9" borderId="0" xfId="0" applyFont="1" applyFill="1" applyBorder="1" applyAlignment="1" applyProtection="1">
      <alignment horizontal="left"/>
    </xf>
    <xf numFmtId="11" fontId="29" fillId="9" borderId="0" xfId="0" applyNumberFormat="1" applyFont="1" applyFill="1" applyBorder="1" applyProtection="1"/>
    <xf numFmtId="11" fontId="21" fillId="9" borderId="0" xfId="0" applyNumberFormat="1" applyFont="1" applyFill="1" applyBorder="1" applyProtection="1"/>
    <xf numFmtId="0" fontId="9" fillId="9" borderId="0" xfId="0" applyFont="1" applyFill="1" applyBorder="1" applyAlignment="1">
      <alignment horizontal="right"/>
    </xf>
    <xf numFmtId="0" fontId="3" fillId="9" borderId="0" xfId="0" applyFont="1" applyFill="1" applyBorder="1" applyAlignment="1" applyProtection="1">
      <alignment horizontal="right" vertical="center"/>
    </xf>
    <xf numFmtId="0" fontId="3" fillId="9" borderId="0" xfId="0" applyFont="1" applyFill="1" applyBorder="1" applyProtection="1"/>
    <xf numFmtId="0" fontId="14" fillId="9" borderId="0" xfId="0" applyFont="1" applyFill="1" applyBorder="1" applyAlignment="1" applyProtection="1">
      <alignment horizontal="center"/>
    </xf>
    <xf numFmtId="168" fontId="7" fillId="9" borderId="0" xfId="0" applyNumberFormat="1" applyFont="1" applyFill="1" applyBorder="1" applyAlignment="1" applyProtection="1">
      <alignment horizontal="center"/>
    </xf>
    <xf numFmtId="0" fontId="29" fillId="9" borderId="0" xfId="0" applyFont="1" applyFill="1" applyBorder="1" applyAlignment="1" applyProtection="1">
      <alignment horizontal="right"/>
    </xf>
    <xf numFmtId="0" fontId="21" fillId="9" borderId="0" xfId="0" applyFont="1" applyFill="1" applyBorder="1" applyAlignment="1" applyProtection="1"/>
    <xf numFmtId="168" fontId="30" fillId="9" borderId="0" xfId="0" applyNumberFormat="1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left"/>
    </xf>
    <xf numFmtId="2" fontId="6" fillId="9" borderId="0" xfId="0" applyNumberFormat="1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/>
    <xf numFmtId="11" fontId="3" fillId="9" borderId="0" xfId="0" applyNumberFormat="1" applyFont="1" applyFill="1" applyBorder="1" applyProtection="1"/>
    <xf numFmtId="0" fontId="9" fillId="9" borderId="0" xfId="0" applyFont="1" applyFill="1" applyBorder="1" applyAlignment="1">
      <alignment horizontal="left"/>
    </xf>
    <xf numFmtId="0" fontId="9" fillId="9" borderId="0" xfId="0" applyFont="1" applyFill="1" applyBorder="1" applyAlignment="1" applyProtection="1">
      <alignment horizontal="left" vertical="center"/>
    </xf>
    <xf numFmtId="0" fontId="5" fillId="9" borderId="0" xfId="0" applyFont="1" applyFill="1" applyBorder="1" applyAlignment="1" applyProtection="1">
      <alignment horizontal="left"/>
    </xf>
    <xf numFmtId="164" fontId="3" fillId="9" borderId="0" xfId="0" applyNumberFormat="1" applyFont="1" applyFill="1" applyBorder="1" applyAlignment="1" applyProtection="1">
      <alignment vertical="center"/>
    </xf>
    <xf numFmtId="0" fontId="49" fillId="9" borderId="0" xfId="0" applyFont="1" applyFill="1" applyBorder="1" applyAlignment="1">
      <alignment horizontal="center"/>
    </xf>
    <xf numFmtId="0" fontId="94" fillId="9" borderId="0" xfId="0" applyFont="1" applyFill="1" applyBorder="1" applyAlignment="1" applyProtection="1"/>
    <xf numFmtId="0" fontId="5" fillId="9" borderId="0" xfId="0" applyFont="1" applyFill="1" applyBorder="1" applyProtection="1"/>
    <xf numFmtId="0" fontId="9" fillId="8" borderId="0" xfId="0" applyFont="1" applyFill="1" applyBorder="1" applyAlignment="1" applyProtection="1">
      <alignment horizontal="right"/>
    </xf>
    <xf numFmtId="0" fontId="9" fillId="8" borderId="0" xfId="0" applyFont="1" applyFill="1" applyBorder="1" applyAlignment="1" applyProtection="1">
      <alignment horizontal="left"/>
    </xf>
    <xf numFmtId="0" fontId="3" fillId="8" borderId="5" xfId="0" applyFont="1" applyFill="1" applyBorder="1" applyAlignment="1" applyProtection="1">
      <alignment horizontal="left"/>
    </xf>
    <xf numFmtId="0" fontId="9" fillId="8" borderId="6" xfId="0" applyFont="1" applyFill="1" applyBorder="1" applyAlignment="1" applyProtection="1">
      <alignment horizontal="right"/>
    </xf>
    <xf numFmtId="0" fontId="0" fillId="8" borderId="6" xfId="0" applyFont="1" applyFill="1" applyBorder="1" applyProtection="1"/>
    <xf numFmtId="0" fontId="9" fillId="8" borderId="6" xfId="0" applyFont="1" applyFill="1" applyBorder="1" applyAlignment="1" applyProtection="1">
      <alignment horizontal="left"/>
    </xf>
    <xf numFmtId="0" fontId="82" fillId="8" borderId="0" xfId="0" applyFont="1" applyFill="1" applyBorder="1" applyAlignment="1" applyProtection="1"/>
    <xf numFmtId="0" fontId="0" fillId="8" borderId="10" xfId="0" applyFill="1" applyBorder="1" applyProtection="1"/>
    <xf numFmtId="0" fontId="9" fillId="8" borderId="11" xfId="0" applyFont="1" applyFill="1" applyBorder="1" applyAlignment="1" applyProtection="1">
      <alignment horizontal="right"/>
    </xf>
    <xf numFmtId="0" fontId="0" fillId="8" borderId="11" xfId="0" applyFill="1" applyBorder="1" applyProtection="1"/>
    <xf numFmtId="0" fontId="9" fillId="8" borderId="11" xfId="0" applyFont="1" applyFill="1" applyBorder="1" applyAlignment="1" applyProtection="1">
      <alignment horizontal="left"/>
    </xf>
    <xf numFmtId="0" fontId="5" fillId="8" borderId="11" xfId="0" applyFont="1" applyFill="1" applyBorder="1" applyAlignment="1" applyProtection="1">
      <alignment horizontal="right"/>
    </xf>
    <xf numFmtId="1" fontId="3" fillId="5" borderId="1" xfId="0" applyNumberFormat="1" applyFont="1" applyFill="1" applyBorder="1" applyAlignment="1" applyProtection="1">
      <alignment vertical="center"/>
      <protection locked="0"/>
    </xf>
    <xf numFmtId="11" fontId="3" fillId="3" borderId="1" xfId="0" applyNumberFormat="1" applyFont="1" applyFill="1" applyBorder="1" applyAlignment="1" applyProtection="1">
      <alignment vertical="center"/>
    </xf>
    <xf numFmtId="176" fontId="3" fillId="3" borderId="1" xfId="0" applyNumberFormat="1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  <protection locked="0"/>
    </xf>
    <xf numFmtId="11" fontId="3" fillId="5" borderId="1" xfId="0" applyNumberFormat="1" applyFont="1" applyFill="1" applyBorder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right" vertical="center"/>
      <protection locked="0"/>
    </xf>
    <xf numFmtId="2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Protection="1">
      <protection locked="0"/>
    </xf>
    <xf numFmtId="176" fontId="3" fillId="5" borderId="1" xfId="0" applyNumberFormat="1" applyFont="1" applyFill="1" applyBorder="1" applyAlignment="1" applyProtection="1">
      <alignment vertical="center"/>
      <protection locked="0"/>
    </xf>
    <xf numFmtId="2" fontId="3" fillId="10" borderId="1" xfId="0" applyNumberFormat="1" applyFont="1" applyFill="1" applyBorder="1" applyAlignment="1" applyProtection="1">
      <alignment horizontal="right" vertical="center"/>
    </xf>
    <xf numFmtId="11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65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" fontId="8" fillId="10" borderId="1" xfId="0" applyNumberFormat="1" applyFont="1" applyFill="1" applyBorder="1" applyAlignment="1" applyProtection="1">
      <alignment horizontal="right"/>
    </xf>
    <xf numFmtId="2" fontId="8" fillId="5" borderId="1" xfId="0" applyNumberFormat="1" applyFont="1" applyFill="1" applyBorder="1" applyAlignment="1" applyProtection="1">
      <alignment horizontal="right" vertical="center"/>
      <protection locked="0"/>
    </xf>
    <xf numFmtId="172" fontId="16" fillId="9" borderId="0" xfId="0" applyNumberFormat="1" applyFont="1" applyFill="1" applyBorder="1" applyAlignment="1">
      <alignment horizontal="center"/>
    </xf>
    <xf numFmtId="0" fontId="2" fillId="9" borderId="0" xfId="0" applyFont="1" applyFill="1" applyBorder="1"/>
    <xf numFmtId="0" fontId="29" fillId="9" borderId="0" xfId="0" applyFont="1" applyFill="1" applyBorder="1"/>
    <xf numFmtId="177" fontId="3" fillId="9" borderId="0" xfId="0" applyNumberFormat="1" applyFont="1" applyFill="1" applyBorder="1" applyAlignment="1">
      <alignment horizontal="right"/>
    </xf>
    <xf numFmtId="176" fontId="3" fillId="7" borderId="1" xfId="0" applyNumberFormat="1" applyFont="1" applyFill="1" applyBorder="1" applyAlignment="1">
      <alignment vertical="center"/>
    </xf>
    <xf numFmtId="164" fontId="3" fillId="10" borderId="1" xfId="0" applyNumberFormat="1" applyFont="1" applyFill="1" applyBorder="1" applyAlignment="1">
      <alignment vertical="center"/>
    </xf>
    <xf numFmtId="173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164" fontId="2" fillId="6" borderId="5" xfId="0" applyNumberFormat="1" applyFont="1" applyFill="1" applyBorder="1"/>
    <xf numFmtId="0" fontId="3" fillId="6" borderId="6" xfId="0" applyFont="1" applyFill="1" applyBorder="1"/>
    <xf numFmtId="0" fontId="3" fillId="6" borderId="7" xfId="0" applyFont="1" applyFill="1" applyBorder="1" applyAlignment="1">
      <alignment horizontal="center"/>
    </xf>
    <xf numFmtId="164" fontId="2" fillId="6" borderId="8" xfId="0" applyNumberFormat="1" applyFont="1" applyFill="1" applyBorder="1"/>
    <xf numFmtId="0" fontId="3" fillId="6" borderId="0" xfId="0" applyFont="1" applyFill="1" applyBorder="1"/>
    <xf numFmtId="0" fontId="3" fillId="6" borderId="9" xfId="0" applyFont="1" applyFill="1" applyBorder="1" applyAlignment="1">
      <alignment horizontal="center"/>
    </xf>
    <xf numFmtId="164" fontId="2" fillId="6" borderId="10" xfId="0" applyNumberFormat="1" applyFont="1" applyFill="1" applyBorder="1"/>
    <xf numFmtId="0" fontId="3" fillId="6" borderId="11" xfId="0" applyFont="1" applyFill="1" applyBorder="1"/>
    <xf numFmtId="0" fontId="3" fillId="6" borderId="12" xfId="0" applyFont="1" applyFill="1" applyBorder="1" applyAlignment="1">
      <alignment horizontal="center"/>
    </xf>
    <xf numFmtId="175" fontId="2" fillId="6" borderId="5" xfId="0" applyNumberFormat="1" applyFont="1" applyFill="1" applyBorder="1"/>
    <xf numFmtId="175" fontId="2" fillId="6" borderId="8" xfId="0" applyNumberFormat="1" applyFont="1" applyFill="1" applyBorder="1"/>
    <xf numFmtId="175" fontId="2" fillId="6" borderId="10" xfId="0" applyNumberFormat="1" applyFont="1" applyFill="1" applyBorder="1"/>
    <xf numFmtId="172" fontId="2" fillId="6" borderId="5" xfId="0" applyNumberFormat="1" applyFont="1" applyFill="1" applyBorder="1"/>
    <xf numFmtId="172" fontId="2" fillId="6" borderId="8" xfId="0" applyNumberFormat="1" applyFont="1" applyFill="1" applyBorder="1"/>
    <xf numFmtId="172" fontId="2" fillId="6" borderId="10" xfId="0" applyNumberFormat="1" applyFont="1" applyFill="1" applyBorder="1"/>
    <xf numFmtId="175" fontId="51" fillId="6" borderId="5" xfId="0" applyNumberFormat="1" applyFont="1" applyFill="1" applyBorder="1"/>
    <xf numFmtId="175" fontId="51" fillId="6" borderId="8" xfId="0" applyNumberFormat="1" applyFont="1" applyFill="1" applyBorder="1"/>
    <xf numFmtId="175" fontId="51" fillId="6" borderId="10" xfId="0" applyNumberFormat="1" applyFont="1" applyFill="1" applyBorder="1"/>
    <xf numFmtId="0" fontId="0" fillId="6" borderId="5" xfId="0" applyFill="1" applyBorder="1" applyAlignment="1">
      <alignment horizontal="center"/>
    </xf>
    <xf numFmtId="173" fontId="2" fillId="6" borderId="7" xfId="0" applyNumberFormat="1" applyFont="1" applyFill="1" applyBorder="1"/>
    <xf numFmtId="0" fontId="0" fillId="6" borderId="8" xfId="0" applyFill="1" applyBorder="1" applyAlignment="1">
      <alignment horizontal="center"/>
    </xf>
    <xf numFmtId="173" fontId="2" fillId="6" borderId="9" xfId="0" applyNumberFormat="1" applyFont="1" applyFill="1" applyBorder="1"/>
    <xf numFmtId="173" fontId="2" fillId="6" borderId="10" xfId="0" applyNumberFormat="1" applyFont="1" applyFill="1" applyBorder="1"/>
    <xf numFmtId="0" fontId="3" fillId="6" borderId="12" xfId="0" applyFont="1" applyFill="1" applyBorder="1"/>
    <xf numFmtId="165" fontId="2" fillId="6" borderId="5" xfId="0" applyNumberFormat="1" applyFont="1" applyFill="1" applyBorder="1"/>
    <xf numFmtId="0" fontId="3" fillId="6" borderId="7" xfId="0" applyFont="1" applyFill="1" applyBorder="1"/>
    <xf numFmtId="165" fontId="2" fillId="6" borderId="8" xfId="0" applyNumberFormat="1" applyFont="1" applyFill="1" applyBorder="1"/>
    <xf numFmtId="0" fontId="3" fillId="6" borderId="9" xfId="0" applyFont="1" applyFill="1" applyBorder="1"/>
    <xf numFmtId="165" fontId="2" fillId="6" borderId="10" xfId="0" applyNumberFormat="1" applyFont="1" applyFill="1" applyBorder="1"/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5" borderId="1" xfId="0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horizontal="right"/>
      <protection locked="0"/>
    </xf>
    <xf numFmtId="177" fontId="3" fillId="5" borderId="2" xfId="0" applyNumberFormat="1" applyFont="1" applyFill="1" applyBorder="1" applyAlignment="1" applyProtection="1">
      <alignment vertical="center"/>
      <protection locked="0"/>
    </xf>
    <xf numFmtId="2" fontId="3" fillId="10" borderId="1" xfId="0" applyNumberFormat="1" applyFont="1" applyFill="1" applyBorder="1" applyAlignment="1">
      <alignment vertical="center"/>
    </xf>
    <xf numFmtId="177" fontId="3" fillId="10" borderId="1" xfId="0" applyNumberFormat="1" applyFont="1" applyFill="1" applyBorder="1" applyAlignment="1">
      <alignment horizontal="right" vertical="center"/>
    </xf>
    <xf numFmtId="173" fontId="6" fillId="3" borderId="1" xfId="0" applyNumberFormat="1" applyFont="1" applyFill="1" applyBorder="1" applyAlignment="1">
      <alignment vertical="center"/>
    </xf>
    <xf numFmtId="177" fontId="6" fillId="3" borderId="1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79" fontId="3" fillId="9" borderId="0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6" fillId="9" borderId="4" xfId="0" applyFon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0" fontId="0" fillId="9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0" fillId="9" borderId="1" xfId="0" applyFill="1" applyBorder="1"/>
    <xf numFmtId="0" fontId="21" fillId="9" borderId="0" xfId="0" applyFont="1" applyFill="1" applyBorder="1"/>
    <xf numFmtId="2" fontId="3" fillId="9" borderId="0" xfId="0" applyNumberFormat="1" applyFont="1" applyFill="1" applyBorder="1"/>
    <xf numFmtId="2" fontId="3" fillId="5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/>
    <xf numFmtId="0" fontId="5" fillId="9" borderId="0" xfId="0" applyFont="1" applyFill="1" applyBorder="1"/>
    <xf numFmtId="0" fontId="9" fillId="9" borderId="0" xfId="0" applyFont="1" applyFill="1" applyBorder="1" applyAlignment="1">
      <alignment horizontal="center"/>
    </xf>
    <xf numFmtId="0" fontId="9" fillId="9" borderId="0" xfId="0" applyFont="1" applyFill="1" applyBorder="1"/>
    <xf numFmtId="0" fontId="20" fillId="9" borderId="0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 vertical="top"/>
    </xf>
    <xf numFmtId="2" fontId="6" fillId="9" borderId="0" xfId="0" applyNumberFormat="1" applyFont="1" applyFill="1" applyBorder="1" applyAlignment="1">
      <alignment horizontal="center"/>
    </xf>
    <xf numFmtId="0" fontId="0" fillId="9" borderId="0" xfId="0" applyFont="1" applyFill="1" applyBorder="1"/>
    <xf numFmtId="0" fontId="3" fillId="9" borderId="0" xfId="0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22" fillId="9" borderId="0" xfId="0" applyFont="1" applyFill="1" applyBorder="1"/>
    <xf numFmtId="0" fontId="6" fillId="9" borderId="0" xfId="0" applyFont="1" applyFill="1" applyBorder="1"/>
    <xf numFmtId="49" fontId="6" fillId="9" borderId="4" xfId="0" applyNumberFormat="1" applyFont="1" applyFill="1" applyBorder="1" applyAlignment="1">
      <alignment horizontal="center"/>
    </xf>
    <xf numFmtId="49" fontId="6" fillId="9" borderId="8" xfId="0" applyNumberFormat="1" applyFont="1" applyFill="1" applyBorder="1" applyAlignment="1">
      <alignment horizontal="center"/>
    </xf>
    <xf numFmtId="0" fontId="6" fillId="9" borderId="8" xfId="0" applyNumberFormat="1" applyFont="1" applyFill="1" applyBorder="1" applyAlignment="1">
      <alignment horizontal="center"/>
    </xf>
    <xf numFmtId="0" fontId="5" fillId="4" borderId="3" xfId="0" applyFont="1" applyFill="1" applyBorder="1"/>
    <xf numFmtId="0" fontId="5" fillId="4" borderId="2" xfId="0" applyFont="1" applyFill="1" applyBorder="1"/>
    <xf numFmtId="0" fontId="21" fillId="4" borderId="1" xfId="0" applyFont="1" applyFill="1" applyBorder="1" applyAlignment="1">
      <alignment horizontal="center"/>
    </xf>
    <xf numFmtId="0" fontId="0" fillId="6" borderId="2" xfId="0" applyFont="1" applyFill="1" applyBorder="1"/>
    <xf numFmtId="0" fontId="0" fillId="6" borderId="3" xfId="0" applyFont="1" applyFill="1" applyBorder="1"/>
    <xf numFmtId="0" fontId="0" fillId="6" borderId="2" xfId="0" applyFill="1" applyBorder="1"/>
    <xf numFmtId="0" fontId="3" fillId="6" borderId="1" xfId="0" applyFont="1" applyFill="1" applyBorder="1"/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9" fillId="6" borderId="2" xfId="0" applyFont="1" applyFill="1" applyBorder="1"/>
    <xf numFmtId="0" fontId="76" fillId="6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vertical="center"/>
    </xf>
    <xf numFmtId="0" fontId="21" fillId="6" borderId="3" xfId="0" applyFont="1" applyFill="1" applyBorder="1"/>
    <xf numFmtId="1" fontId="3" fillId="2" borderId="1" xfId="0" applyNumberFormat="1" applyFont="1" applyFill="1" applyBorder="1" applyAlignment="1">
      <alignment vertical="center"/>
    </xf>
    <xf numFmtId="1" fontId="0" fillId="0" borderId="0" xfId="0" applyNumberFormat="1"/>
    <xf numFmtId="0" fontId="0" fillId="4" borderId="5" xfId="0" applyFont="1" applyFill="1" applyBorder="1"/>
    <xf numFmtId="0" fontId="0" fillId="4" borderId="7" xfId="0" applyFont="1" applyFill="1" applyBorder="1"/>
    <xf numFmtId="0" fontId="86" fillId="4" borderId="8" xfId="0" applyFont="1" applyFill="1" applyBorder="1" applyAlignment="1">
      <alignment horizontal="left"/>
    </xf>
    <xf numFmtId="0" fontId="3" fillId="4" borderId="9" xfId="0" applyFont="1" applyFill="1" applyBorder="1"/>
    <xf numFmtId="0" fontId="89" fillId="4" borderId="12" xfId="0" applyFont="1" applyFill="1" applyBorder="1"/>
    <xf numFmtId="0" fontId="0" fillId="4" borderId="2" xfId="0" applyFont="1" applyFill="1" applyBorder="1"/>
    <xf numFmtId="0" fontId="93" fillId="4" borderId="3" xfId="0" applyFont="1" applyFill="1" applyBorder="1" applyAlignment="1">
      <alignment horizontal="center"/>
    </xf>
    <xf numFmtId="0" fontId="0" fillId="4" borderId="3" xfId="0" applyFont="1" applyFill="1" applyBorder="1"/>
    <xf numFmtId="0" fontId="36" fillId="9" borderId="5" xfId="0" applyFont="1" applyFill="1" applyBorder="1" applyAlignment="1">
      <alignment horizontal="right"/>
    </xf>
    <xf numFmtId="0" fontId="36" fillId="9" borderId="6" xfId="0" applyFont="1" applyFill="1" applyBorder="1"/>
    <xf numFmtId="0" fontId="6" fillId="9" borderId="6" xfId="0" applyFont="1" applyFill="1" applyBorder="1"/>
    <xf numFmtId="0" fontId="29" fillId="9" borderId="6" xfId="0" applyFont="1" applyFill="1" applyBorder="1"/>
    <xf numFmtId="0" fontId="29" fillId="9" borderId="7" xfId="0" applyFont="1" applyFill="1" applyBorder="1"/>
    <xf numFmtId="0" fontId="36" fillId="9" borderId="8" xfId="0" applyFont="1" applyFill="1" applyBorder="1" applyAlignment="1">
      <alignment horizontal="right"/>
    </xf>
    <xf numFmtId="0" fontId="29" fillId="9" borderId="9" xfId="0" applyFont="1" applyFill="1" applyBorder="1"/>
    <xf numFmtId="0" fontId="36" fillId="9" borderId="10" xfId="0" applyFont="1" applyFill="1" applyBorder="1" applyAlignment="1">
      <alignment horizontal="right"/>
    </xf>
    <xf numFmtId="0" fontId="6" fillId="9" borderId="11" xfId="0" applyFont="1" applyFill="1" applyBorder="1"/>
    <xf numFmtId="0" fontId="29" fillId="9" borderId="11" xfId="0" applyFont="1" applyFill="1" applyBorder="1"/>
    <xf numFmtId="0" fontId="3" fillId="9" borderId="7" xfId="0" applyFont="1" applyFill="1" applyBorder="1"/>
    <xf numFmtId="0" fontId="0" fillId="9" borderId="10" xfId="0" applyFill="1" applyBorder="1"/>
    <xf numFmtId="0" fontId="36" fillId="9" borderId="11" xfId="0" applyFont="1" applyFill="1" applyBorder="1" applyAlignment="1">
      <alignment horizontal="center"/>
    </xf>
    <xf numFmtId="0" fontId="3" fillId="9" borderId="6" xfId="0" applyFont="1" applyFill="1" applyBorder="1"/>
    <xf numFmtId="0" fontId="36" fillId="9" borderId="11" xfId="0" applyFont="1" applyFill="1" applyBorder="1"/>
    <xf numFmtId="0" fontId="29" fillId="9" borderId="12" xfId="0" applyFont="1" applyFill="1" applyBorder="1"/>
    <xf numFmtId="0" fontId="3" fillId="9" borderId="8" xfId="0" applyFont="1" applyFill="1" applyBorder="1"/>
    <xf numFmtId="0" fontId="0" fillId="9" borderId="11" xfId="0" applyFill="1" applyBorder="1"/>
    <xf numFmtId="0" fontId="36" fillId="9" borderId="0" xfId="0" applyFont="1" applyFill="1" applyBorder="1" applyAlignment="1">
      <alignment horizontal="left"/>
    </xf>
    <xf numFmtId="0" fontId="29" fillId="9" borderId="6" xfId="0" applyFont="1" applyFill="1" applyBorder="1" applyAlignment="1">
      <alignment horizontal="left"/>
    </xf>
    <xf numFmtId="0" fontId="29" fillId="9" borderId="10" xfId="0" applyFont="1" applyFill="1" applyBorder="1"/>
    <xf numFmtId="0" fontId="10" fillId="9" borderId="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left"/>
    </xf>
    <xf numFmtId="0" fontId="22" fillId="9" borderId="12" xfId="0" applyFont="1" applyFill="1" applyBorder="1"/>
    <xf numFmtId="1" fontId="3" fillId="9" borderId="0" xfId="0" applyNumberFormat="1" applyFont="1" applyFill="1" applyBorder="1" applyAlignment="1" applyProtection="1">
      <alignment vertical="center"/>
    </xf>
    <xf numFmtId="0" fontId="5" fillId="9" borderId="6" xfId="0" applyFont="1" applyFill="1" applyBorder="1" applyAlignment="1" applyProtection="1">
      <alignment horizontal="right"/>
    </xf>
    <xf numFmtId="0" fontId="0" fillId="9" borderId="6" xfId="0" applyFont="1" applyFill="1" applyBorder="1" applyProtection="1"/>
    <xf numFmtId="0" fontId="5" fillId="9" borderId="6" xfId="0" applyFont="1" applyFill="1" applyBorder="1" applyAlignment="1" applyProtection="1">
      <alignment horizontal="left"/>
    </xf>
    <xf numFmtId="0" fontId="3" fillId="9" borderId="0" xfId="0" applyFont="1" applyFill="1" applyBorder="1" applyAlignment="1" applyProtection="1">
      <alignment vertical="center"/>
    </xf>
    <xf numFmtId="0" fontId="9" fillId="9" borderId="0" xfId="0" applyFont="1" applyFill="1" applyBorder="1" applyAlignment="1" applyProtection="1">
      <alignment horizontal="right" vertical="center"/>
    </xf>
    <xf numFmtId="0" fontId="0" fillId="9" borderId="0" xfId="0" applyFill="1" applyBorder="1" applyAlignment="1" applyProtection="1">
      <alignment vertical="center"/>
    </xf>
    <xf numFmtId="0" fontId="0" fillId="9" borderId="9" xfId="0" applyFill="1" applyBorder="1" applyAlignment="1" applyProtection="1">
      <alignment vertical="center"/>
    </xf>
    <xf numFmtId="0" fontId="8" fillId="9" borderId="0" xfId="0" applyFont="1" applyFill="1" applyBorder="1" applyAlignment="1" applyProtection="1">
      <alignment vertical="center"/>
    </xf>
    <xf numFmtId="0" fontId="0" fillId="9" borderId="0" xfId="0" applyFont="1" applyFill="1" applyBorder="1" applyAlignment="1" applyProtection="1">
      <alignment vertical="center"/>
    </xf>
    <xf numFmtId="0" fontId="0" fillId="9" borderId="9" xfId="0" applyFill="1" applyBorder="1" applyProtection="1"/>
    <xf numFmtId="0" fontId="6" fillId="9" borderId="0" xfId="0" applyFont="1" applyFill="1" applyBorder="1" applyAlignment="1" applyProtection="1">
      <alignment horizontal="left"/>
    </xf>
    <xf numFmtId="0" fontId="0" fillId="9" borderId="8" xfId="0" applyFill="1" applyBorder="1"/>
    <xf numFmtId="0" fontId="5" fillId="9" borderId="0" xfId="0" applyFont="1" applyFill="1" applyBorder="1" applyAlignment="1" applyProtection="1">
      <alignment horizontal="left" vertical="center"/>
    </xf>
    <xf numFmtId="0" fontId="5" fillId="9" borderId="0" xfId="0" applyFont="1" applyFill="1" applyBorder="1" applyAlignment="1">
      <alignment horizontal="left"/>
    </xf>
    <xf numFmtId="0" fontId="0" fillId="9" borderId="9" xfId="0" applyFill="1" applyBorder="1"/>
    <xf numFmtId="0" fontId="5" fillId="9" borderId="11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right"/>
    </xf>
    <xf numFmtId="0" fontId="9" fillId="9" borderId="6" xfId="0" applyFont="1" applyFill="1" applyBorder="1" applyAlignment="1" applyProtection="1">
      <alignment horizontal="right"/>
    </xf>
    <xf numFmtId="0" fontId="9" fillId="9" borderId="6" xfId="0" applyFont="1" applyFill="1" applyBorder="1" applyAlignment="1" applyProtection="1">
      <alignment horizontal="left"/>
    </xf>
    <xf numFmtId="0" fontId="0" fillId="9" borderId="6" xfId="0" applyFill="1" applyBorder="1" applyProtection="1"/>
    <xf numFmtId="0" fontId="94" fillId="9" borderId="0" xfId="0" applyFont="1" applyFill="1" applyBorder="1" applyAlignment="1" applyProtection="1">
      <alignment horizontal="center"/>
    </xf>
    <xf numFmtId="0" fontId="21" fillId="9" borderId="0" xfId="0" applyFont="1" applyFill="1" applyBorder="1" applyProtection="1"/>
    <xf numFmtId="0" fontId="9" fillId="9" borderId="8" xfId="0" applyFont="1" applyFill="1" applyBorder="1" applyAlignment="1">
      <alignment vertical="center"/>
    </xf>
    <xf numFmtId="0" fontId="9" fillId="9" borderId="11" xfId="0" applyFont="1" applyFill="1" applyBorder="1" applyAlignment="1" applyProtection="1">
      <alignment horizontal="right"/>
    </xf>
    <xf numFmtId="0" fontId="0" fillId="9" borderId="11" xfId="0" applyFill="1" applyBorder="1" applyProtection="1"/>
    <xf numFmtId="0" fontId="5" fillId="9" borderId="9" xfId="0" applyFont="1" applyFill="1" applyBorder="1" applyAlignment="1" applyProtection="1">
      <alignment horizontal="right"/>
    </xf>
    <xf numFmtId="0" fontId="5" fillId="9" borderId="8" xfId="0" applyFont="1" applyFill="1" applyBorder="1"/>
    <xf numFmtId="0" fontId="5" fillId="9" borderId="9" xfId="0" applyFont="1" applyFill="1" applyBorder="1" applyProtection="1"/>
    <xf numFmtId="0" fontId="9" fillId="9" borderId="9" xfId="0" applyFont="1" applyFill="1" applyBorder="1" applyProtection="1"/>
    <xf numFmtId="0" fontId="9" fillId="9" borderId="8" xfId="0" applyFont="1" applyFill="1" applyBorder="1"/>
    <xf numFmtId="0" fontId="9" fillId="9" borderId="9" xfId="0" applyFont="1" applyFill="1" applyBorder="1"/>
    <xf numFmtId="0" fontId="8" fillId="9" borderId="0" xfId="0" applyFont="1" applyFill="1" applyBorder="1" applyProtection="1"/>
    <xf numFmtId="0" fontId="37" fillId="9" borderId="0" xfId="1" applyFill="1" applyBorder="1" applyAlignment="1" applyProtection="1"/>
    <xf numFmtId="0" fontId="27" fillId="9" borderId="0" xfId="0" applyFont="1" applyFill="1" applyBorder="1" applyProtection="1"/>
    <xf numFmtId="0" fontId="9" fillId="9" borderId="11" xfId="0" applyFont="1" applyFill="1" applyBorder="1" applyAlignment="1" applyProtection="1">
      <alignment horizontal="left"/>
    </xf>
    <xf numFmtId="11" fontId="1" fillId="9" borderId="0" xfId="0" applyNumberFormat="1" applyFont="1" applyFill="1" applyBorder="1" applyProtection="1"/>
    <xf numFmtId="0" fontId="20" fillId="9" borderId="0" xfId="0" applyFont="1" applyFill="1" applyBorder="1" applyProtection="1"/>
    <xf numFmtId="0" fontId="25" fillId="9" borderId="0" xfId="0" applyFont="1" applyFill="1" applyBorder="1" applyProtection="1"/>
    <xf numFmtId="0" fontId="31" fillId="9" borderId="0" xfId="0" applyFont="1" applyFill="1" applyBorder="1" applyAlignment="1" applyProtection="1">
      <alignment horizontal="center"/>
    </xf>
    <xf numFmtId="0" fontId="38" fillId="9" borderId="0" xfId="0" applyFont="1" applyFill="1" applyBorder="1" applyAlignment="1" applyProtection="1">
      <alignment horizontal="center"/>
    </xf>
    <xf numFmtId="0" fontId="0" fillId="9" borderId="0" xfId="0" applyFont="1" applyFill="1" applyBorder="1" applyAlignment="1" applyProtection="1">
      <alignment horizontal="left"/>
    </xf>
    <xf numFmtId="0" fontId="1" fillId="9" borderId="11" xfId="0" applyFont="1" applyFill="1" applyBorder="1" applyProtection="1"/>
    <xf numFmtId="0" fontId="3" fillId="9" borderId="0" xfId="0" applyFont="1" applyFill="1" applyBorder="1" applyAlignment="1" applyProtection="1">
      <alignment horizontal="left" wrapText="1"/>
    </xf>
    <xf numFmtId="0" fontId="9" fillId="9" borderId="0" xfId="0" applyFont="1" applyFill="1" applyBorder="1" applyAlignment="1" applyProtection="1">
      <alignment horizontal="right" wrapText="1"/>
    </xf>
    <xf numFmtId="0" fontId="26" fillId="9" borderId="0" xfId="0" applyFont="1" applyFill="1" applyBorder="1" applyAlignment="1" applyProtection="1">
      <alignment horizontal="center"/>
    </xf>
    <xf numFmtId="0" fontId="94" fillId="9" borderId="0" xfId="0" applyFont="1" applyFill="1" applyBorder="1" applyProtection="1"/>
    <xf numFmtId="0" fontId="5" fillId="9" borderId="11" xfId="0" applyFont="1" applyFill="1" applyBorder="1" applyAlignment="1" applyProtection="1">
      <alignment horizontal="right"/>
    </xf>
    <xf numFmtId="0" fontId="0" fillId="9" borderId="11" xfId="0" applyFont="1" applyFill="1" applyBorder="1" applyProtection="1"/>
    <xf numFmtId="0" fontId="5" fillId="9" borderId="11" xfId="0" applyFont="1" applyFill="1" applyBorder="1" applyAlignment="1" applyProtection="1">
      <alignment horizontal="left"/>
    </xf>
    <xf numFmtId="2" fontId="3" fillId="9" borderId="6" xfId="0" applyNumberFormat="1" applyFont="1" applyFill="1" applyBorder="1" applyProtection="1"/>
    <xf numFmtId="0" fontId="5" fillId="9" borderId="0" xfId="0" applyFont="1" applyFill="1" applyBorder="1" applyAlignment="1" applyProtection="1"/>
    <xf numFmtId="0" fontId="5" fillId="9" borderId="9" xfId="0" applyFont="1" applyFill="1" applyBorder="1" applyAlignment="1" applyProtection="1"/>
    <xf numFmtId="165" fontId="0" fillId="9" borderId="0" xfId="0" applyNumberFormat="1" applyFill="1" applyBorder="1" applyAlignment="1" applyProtection="1">
      <alignment horizontal="left"/>
    </xf>
    <xf numFmtId="0" fontId="2" fillId="9" borderId="0" xfId="0" applyFont="1" applyFill="1" applyBorder="1" applyAlignment="1" applyProtection="1">
      <alignment horizontal="right"/>
    </xf>
    <xf numFmtId="0" fontId="0" fillId="9" borderId="0" xfId="0" applyFont="1" applyFill="1" applyBorder="1" applyAlignment="1" applyProtection="1">
      <alignment horizontal="center"/>
    </xf>
    <xf numFmtId="1" fontId="3" fillId="9" borderId="6" xfId="0" applyNumberFormat="1" applyFont="1" applyFill="1" applyBorder="1" applyProtection="1"/>
    <xf numFmtId="0" fontId="78" fillId="9" borderId="0" xfId="0" applyFont="1" applyFill="1" applyBorder="1" applyAlignment="1" applyProtection="1">
      <alignment horizontal="center"/>
    </xf>
    <xf numFmtId="0" fontId="18" fillId="9" borderId="0" xfId="0" applyFont="1" applyFill="1" applyBorder="1" applyAlignment="1" applyProtection="1">
      <alignment horizontal="center"/>
    </xf>
    <xf numFmtId="0" fontId="0" fillId="9" borderId="11" xfId="0" applyFont="1" applyFill="1" applyBorder="1"/>
    <xf numFmtId="0" fontId="5" fillId="9" borderId="6" xfId="0" applyFont="1" applyFill="1" applyBorder="1" applyAlignment="1">
      <alignment horizontal="right"/>
    </xf>
    <xf numFmtId="0" fontId="0" fillId="9" borderId="6" xfId="0" applyFont="1" applyFill="1" applyBorder="1"/>
    <xf numFmtId="0" fontId="5" fillId="9" borderId="6" xfId="0" applyFont="1" applyFill="1" applyBorder="1" applyAlignment="1">
      <alignment horizontal="left"/>
    </xf>
    <xf numFmtId="0" fontId="9" fillId="9" borderId="6" xfId="0" applyFont="1" applyFill="1" applyBorder="1" applyAlignment="1" applyProtection="1">
      <alignment horizontal="center"/>
    </xf>
    <xf numFmtId="0" fontId="0" fillId="9" borderId="0" xfId="0" applyFont="1" applyFill="1" applyBorder="1" applyAlignment="1">
      <alignment horizontal="left"/>
    </xf>
    <xf numFmtId="0" fontId="6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left" vertical="center"/>
    </xf>
    <xf numFmtId="11" fontId="0" fillId="9" borderId="0" xfId="0" applyNumberFormat="1" applyFont="1" applyFill="1" applyBorder="1" applyProtection="1"/>
    <xf numFmtId="0" fontId="21" fillId="9" borderId="11" xfId="0" applyFont="1" applyFill="1" applyBorder="1" applyAlignment="1" applyProtection="1">
      <alignment horizontal="left"/>
    </xf>
    <xf numFmtId="0" fontId="14" fillId="9" borderId="11" xfId="0" applyFont="1" applyFill="1" applyBorder="1" applyAlignment="1" applyProtection="1">
      <alignment horizontal="right"/>
    </xf>
    <xf numFmtId="0" fontId="14" fillId="9" borderId="11" xfId="0" applyFont="1" applyFill="1" applyBorder="1" applyProtection="1"/>
    <xf numFmtId="0" fontId="21" fillId="9" borderId="0" xfId="0" applyFont="1" applyFill="1" applyBorder="1" applyAlignment="1" applyProtection="1">
      <alignment horizontal="right"/>
    </xf>
    <xf numFmtId="0" fontId="0" fillId="9" borderId="0" xfId="0" applyFill="1" applyBorder="1" applyAlignment="1" applyProtection="1">
      <alignment horizontal="center"/>
    </xf>
    <xf numFmtId="0" fontId="22" fillId="9" borderId="0" xfId="0" applyFont="1" applyFill="1" applyBorder="1" applyProtection="1"/>
    <xf numFmtId="11" fontId="3" fillId="9" borderId="11" xfId="0" applyNumberFormat="1" applyFont="1" applyFill="1" applyBorder="1" applyProtection="1"/>
    <xf numFmtId="0" fontId="114" fillId="9" borderId="11" xfId="0" applyFont="1" applyFill="1" applyBorder="1" applyProtection="1"/>
    <xf numFmtId="11" fontId="3" fillId="9" borderId="6" xfId="0" applyNumberFormat="1" applyFont="1" applyFill="1" applyBorder="1" applyProtection="1"/>
    <xf numFmtId="0" fontId="21" fillId="9" borderId="8" xfId="0" applyFont="1" applyFill="1" applyBorder="1"/>
    <xf numFmtId="0" fontId="44" fillId="9" borderId="0" xfId="0" applyFont="1" applyFill="1" applyBorder="1" applyAlignment="1" applyProtection="1">
      <alignment horizontal="left"/>
    </xf>
    <xf numFmtId="0" fontId="5" fillId="9" borderId="11" xfId="0" applyFont="1" applyFill="1" applyBorder="1" applyProtection="1"/>
    <xf numFmtId="0" fontId="47" fillId="9" borderId="0" xfId="1" applyFont="1" applyFill="1" applyBorder="1" applyAlignment="1" applyProtection="1"/>
    <xf numFmtId="0" fontId="45" fillId="9" borderId="0" xfId="1" applyFont="1" applyFill="1" applyBorder="1" applyAlignment="1" applyProtection="1"/>
    <xf numFmtId="0" fontId="5" fillId="9" borderId="12" xfId="0" applyFont="1" applyFill="1" applyBorder="1" applyProtection="1"/>
    <xf numFmtId="0" fontId="0" fillId="9" borderId="5" xfId="0" applyFill="1" applyBorder="1"/>
    <xf numFmtId="0" fontId="0" fillId="9" borderId="6" xfId="0" applyFill="1" applyBorder="1"/>
    <xf numFmtId="0" fontId="2" fillId="9" borderId="7" xfId="0" applyFont="1" applyFill="1" applyBorder="1" applyAlignment="1">
      <alignment horizontal="right"/>
    </xf>
    <xf numFmtId="0" fontId="50" fillId="9" borderId="0" xfId="0" applyFont="1" applyFill="1" applyBorder="1"/>
    <xf numFmtId="0" fontId="29" fillId="9" borderId="0" xfId="0" applyFont="1" applyFill="1" applyBorder="1" applyAlignment="1">
      <alignment horizontal="left" vertical="center"/>
    </xf>
    <xf numFmtId="0" fontId="3" fillId="9" borderId="9" xfId="0" applyFont="1" applyFill="1" applyBorder="1"/>
    <xf numFmtId="0" fontId="29" fillId="9" borderId="0" xfId="0" applyFont="1" applyFill="1" applyBorder="1" applyAlignment="1">
      <alignment vertical="center"/>
    </xf>
    <xf numFmtId="0" fontId="36" fillId="9" borderId="0" xfId="0" applyFont="1" applyFill="1" applyBorder="1" applyAlignment="1">
      <alignment horizontal="right" vertical="center"/>
    </xf>
    <xf numFmtId="0" fontId="3" fillId="9" borderId="9" xfId="0" applyFont="1" applyFill="1" applyBorder="1" applyAlignment="1">
      <alignment vertical="center"/>
    </xf>
    <xf numFmtId="0" fontId="2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right"/>
    </xf>
    <xf numFmtId="0" fontId="3" fillId="9" borderId="10" xfId="0" applyFont="1" applyFill="1" applyBorder="1"/>
    <xf numFmtId="0" fontId="3" fillId="9" borderId="11" xfId="0" applyFon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3" fillId="9" borderId="12" xfId="0" applyFont="1" applyFill="1" applyBorder="1"/>
    <xf numFmtId="0" fontId="3" fillId="9" borderId="5" xfId="0" applyFont="1" applyFill="1" applyBorder="1"/>
    <xf numFmtId="0" fontId="3" fillId="9" borderId="8" xfId="0" applyFont="1" applyFill="1" applyBorder="1" applyAlignment="1"/>
    <xf numFmtId="0" fontId="3" fillId="9" borderId="11" xfId="0" applyFont="1" applyFill="1" applyBorder="1"/>
    <xf numFmtId="0" fontId="29" fillId="9" borderId="0" xfId="0" applyFont="1" applyFill="1" applyBorder="1" applyAlignment="1"/>
    <xf numFmtId="0" fontId="3" fillId="9" borderId="9" xfId="0" applyFont="1" applyFill="1" applyBorder="1" applyAlignment="1"/>
    <xf numFmtId="0" fontId="3" fillId="9" borderId="8" xfId="0" applyFont="1" applyFill="1" applyBorder="1" applyAlignment="1">
      <alignment vertical="top"/>
    </xf>
    <xf numFmtId="0" fontId="3" fillId="9" borderId="0" xfId="0" applyFont="1" applyFill="1" applyBorder="1" applyAlignment="1">
      <alignment horizontal="right" vertical="center"/>
    </xf>
    <xf numFmtId="0" fontId="3" fillId="9" borderId="0" xfId="0" applyFont="1" applyFill="1" applyBorder="1" applyAlignment="1">
      <alignment vertical="top"/>
    </xf>
    <xf numFmtId="0" fontId="0" fillId="9" borderId="0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" fillId="9" borderId="10" xfId="0" applyFont="1" applyFill="1" applyBorder="1" applyAlignment="1">
      <alignment vertical="center"/>
    </xf>
    <xf numFmtId="0" fontId="29" fillId="9" borderId="11" xfId="0" applyFont="1" applyFill="1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21" fillId="9" borderId="11" xfId="0" applyFont="1" applyFill="1" applyBorder="1" applyAlignment="1">
      <alignment vertical="center"/>
    </xf>
    <xf numFmtId="0" fontId="3" fillId="9" borderId="12" xfId="0" applyFont="1" applyFill="1" applyBorder="1" applyAlignment="1">
      <alignment vertical="center"/>
    </xf>
    <xf numFmtId="0" fontId="8" fillId="9" borderId="6" xfId="0" applyFont="1" applyFill="1" applyBorder="1" applyAlignment="1">
      <alignment horizontal="left"/>
    </xf>
    <xf numFmtId="0" fontId="25" fillId="9" borderId="6" xfId="0" applyFont="1" applyFill="1" applyBorder="1" applyAlignment="1">
      <alignment horizontal="right"/>
    </xf>
    <xf numFmtId="0" fontId="25" fillId="9" borderId="6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center"/>
    </xf>
    <xf numFmtId="0" fontId="0" fillId="9" borderId="0" xfId="0" applyFill="1" applyBorder="1" applyAlignment="1">
      <alignment horizontal="right"/>
    </xf>
    <xf numFmtId="0" fontId="0" fillId="9" borderId="0" xfId="0" applyFill="1" applyBorder="1" applyAlignment="1">
      <alignment horizontal="left"/>
    </xf>
    <xf numFmtId="0" fontId="25" fillId="9" borderId="9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51" fillId="9" borderId="9" xfId="0" applyFont="1" applyFill="1" applyBorder="1" applyAlignment="1">
      <alignment horizontal="center"/>
    </xf>
    <xf numFmtId="0" fontId="8" fillId="9" borderId="8" xfId="0" applyFont="1" applyFill="1" applyBorder="1"/>
    <xf numFmtId="0" fontId="58" fillId="9" borderId="9" xfId="0" applyFont="1" applyFill="1" applyBorder="1" applyAlignment="1">
      <alignment horizontal="center"/>
    </xf>
    <xf numFmtId="172" fontId="8" fillId="9" borderId="9" xfId="0" applyNumberFormat="1" applyFont="1" applyFill="1" applyBorder="1" applyAlignment="1">
      <alignment horizontal="center"/>
    </xf>
    <xf numFmtId="0" fontId="8" fillId="9" borderId="5" xfId="0" applyFont="1" applyFill="1" applyBorder="1"/>
    <xf numFmtId="0" fontId="8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right"/>
    </xf>
    <xf numFmtId="0" fontId="79" fillId="9" borderId="0" xfId="0" applyFont="1" applyFill="1" applyBorder="1" applyAlignment="1">
      <alignment horizontal="center"/>
    </xf>
    <xf numFmtId="0" fontId="67" fillId="9" borderId="0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right"/>
    </xf>
    <xf numFmtId="0" fontId="3" fillId="9" borderId="11" xfId="0" applyFont="1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0" fillId="9" borderId="12" xfId="0" applyFill="1" applyBorder="1"/>
    <xf numFmtId="0" fontId="0" fillId="9" borderId="6" xfId="0" applyFill="1" applyBorder="1" applyAlignment="1">
      <alignment horizontal="right"/>
    </xf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left"/>
    </xf>
    <xf numFmtId="0" fontId="68" fillId="9" borderId="0" xfId="0" applyFont="1" applyFill="1" applyBorder="1"/>
    <xf numFmtId="0" fontId="54" fillId="9" borderId="0" xfId="0" applyFont="1" applyFill="1" applyBorder="1" applyAlignment="1">
      <alignment horizontal="left"/>
    </xf>
    <xf numFmtId="0" fontId="22" fillId="9" borderId="0" xfId="0" applyFont="1" applyFill="1" applyBorder="1" applyAlignment="1">
      <alignment horizontal="center"/>
    </xf>
    <xf numFmtId="0" fontId="22" fillId="9" borderId="0" xfId="0" applyFont="1" applyFill="1" applyBorder="1" applyAlignment="1">
      <alignment horizontal="left"/>
    </xf>
    <xf numFmtId="0" fontId="60" fillId="9" borderId="0" xfId="0" applyFont="1" applyFill="1" applyBorder="1" applyAlignment="1">
      <alignment horizontal="center"/>
    </xf>
    <xf numFmtId="0" fontId="29" fillId="9" borderId="11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16" fillId="9" borderId="0" xfId="0" applyFont="1" applyFill="1" applyBorder="1" applyAlignment="1">
      <alignment horizontal="right"/>
    </xf>
    <xf numFmtId="0" fontId="49" fillId="9" borderId="0" xfId="0" applyFont="1" applyFill="1" applyBorder="1" applyAlignment="1">
      <alignment horizontal="right"/>
    </xf>
    <xf numFmtId="0" fontId="29" fillId="9" borderId="0" xfId="0" applyFont="1" applyFill="1" applyBorder="1" applyAlignment="1">
      <alignment horizontal="center"/>
    </xf>
    <xf numFmtId="0" fontId="22" fillId="9" borderId="9" xfId="0" applyFont="1" applyFill="1" applyBorder="1"/>
    <xf numFmtId="0" fontId="0" fillId="9" borderId="11" xfId="0" applyFill="1" applyBorder="1" applyAlignment="1">
      <alignment horizontal="right"/>
    </xf>
    <xf numFmtId="0" fontId="16" fillId="9" borderId="0" xfId="0" applyFont="1" applyFill="1" applyBorder="1" applyAlignment="1">
      <alignment horizontal="center"/>
    </xf>
    <xf numFmtId="0" fontId="9" fillId="9" borderId="6" xfId="0" applyFont="1" applyFill="1" applyBorder="1"/>
    <xf numFmtId="0" fontId="31" fillId="9" borderId="0" xfId="0" applyFont="1" applyFill="1" applyBorder="1" applyAlignment="1">
      <alignment horizontal="center"/>
    </xf>
    <xf numFmtId="0" fontId="21" fillId="9" borderId="0" xfId="0" applyFont="1" applyFill="1" applyBorder="1" applyAlignment="1">
      <alignment horizontal="center"/>
    </xf>
    <xf numFmtId="0" fontId="0" fillId="9" borderId="9" xfId="0" applyFont="1" applyFill="1" applyBorder="1"/>
    <xf numFmtId="0" fontId="0" fillId="9" borderId="8" xfId="0" applyFont="1" applyFill="1" applyBorder="1"/>
    <xf numFmtId="0" fontId="21" fillId="9" borderId="9" xfId="0" applyFont="1" applyFill="1" applyBorder="1"/>
    <xf numFmtId="0" fontId="16" fillId="9" borderId="0" xfId="0" applyFont="1" applyFill="1" applyBorder="1"/>
    <xf numFmtId="0" fontId="5" fillId="9" borderId="6" xfId="0" applyFont="1" applyFill="1" applyBorder="1"/>
    <xf numFmtId="0" fontId="5" fillId="9" borderId="9" xfId="0" applyFont="1" applyFill="1" applyBorder="1"/>
    <xf numFmtId="0" fontId="0" fillId="9" borderId="0" xfId="0" applyFont="1" applyFill="1" applyBorder="1" applyAlignment="1">
      <alignment horizontal="right"/>
    </xf>
    <xf numFmtId="0" fontId="76" fillId="9" borderId="0" xfId="0" applyFont="1" applyFill="1" applyBorder="1" applyAlignment="1">
      <alignment horizontal="right"/>
    </xf>
    <xf numFmtId="0" fontId="9" fillId="9" borderId="0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right"/>
    </xf>
    <xf numFmtId="0" fontId="20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left"/>
    </xf>
    <xf numFmtId="0" fontId="36" fillId="9" borderId="0" xfId="0" applyFont="1" applyFill="1" applyBorder="1" applyAlignment="1">
      <alignment horizontal="center" vertical="center"/>
    </xf>
    <xf numFmtId="0" fontId="5" fillId="9" borderId="11" xfId="0" applyFont="1" applyFill="1" applyBorder="1"/>
    <xf numFmtId="0" fontId="5" fillId="9" borderId="5" xfId="0" applyFont="1" applyFill="1" applyBorder="1"/>
    <xf numFmtId="0" fontId="76" fillId="9" borderId="0" xfId="0" applyFont="1" applyFill="1" applyBorder="1" applyAlignment="1">
      <alignment horizontal="right" vertical="center"/>
    </xf>
    <xf numFmtId="0" fontId="3" fillId="9" borderId="5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0" fontId="88" fillId="9" borderId="0" xfId="0" applyFont="1" applyFill="1" applyBorder="1" applyAlignment="1">
      <alignment horizontal="right"/>
    </xf>
    <xf numFmtId="0" fontId="93" fillId="9" borderId="0" xfId="0" applyFont="1" applyFill="1" applyBorder="1" applyAlignment="1">
      <alignment horizontal="left"/>
    </xf>
    <xf numFmtId="0" fontId="94" fillId="9" borderId="0" xfId="0" applyFont="1" applyFill="1" applyBorder="1" applyAlignment="1">
      <alignment horizontal="center" vertical="top"/>
    </xf>
    <xf numFmtId="0" fontId="29" fillId="0" borderId="9" xfId="0" applyFont="1" applyBorder="1"/>
    <xf numFmtId="0" fontId="0" fillId="0" borderId="9" xfId="0" applyBorder="1"/>
    <xf numFmtId="0" fontId="2" fillId="9" borderId="0" xfId="0" applyFont="1" applyFill="1" applyBorder="1" applyAlignment="1">
      <alignment horizontal="left"/>
    </xf>
    <xf numFmtId="0" fontId="1" fillId="9" borderId="0" xfId="0" applyFont="1" applyFill="1" applyBorder="1"/>
    <xf numFmtId="0" fontId="3" fillId="9" borderId="11" xfId="0" applyFont="1" applyFill="1" applyBorder="1" applyAlignment="1"/>
    <xf numFmtId="0" fontId="61" fillId="9" borderId="0" xfId="0" applyFont="1" applyFill="1" applyBorder="1" applyAlignment="1">
      <alignment horizontal="right"/>
    </xf>
    <xf numFmtId="0" fontId="91" fillId="9" borderId="0" xfId="0" applyFont="1" applyFill="1" applyBorder="1" applyAlignment="1">
      <alignment vertical="center"/>
    </xf>
    <xf numFmtId="0" fontId="29" fillId="9" borderId="0" xfId="0" applyFont="1" applyFill="1" applyBorder="1" applyAlignment="1">
      <alignment horizontal="right" vertical="center"/>
    </xf>
    <xf numFmtId="0" fontId="43" fillId="9" borderId="0" xfId="0" applyFont="1" applyFill="1" applyBorder="1" applyAlignment="1">
      <alignment horizontal="center"/>
    </xf>
    <xf numFmtId="0" fontId="43" fillId="9" borderId="11" xfId="0" applyFont="1" applyFill="1" applyBorder="1" applyAlignment="1">
      <alignment horizontal="center"/>
    </xf>
    <xf numFmtId="0" fontId="0" fillId="9" borderId="10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9" fillId="9" borderId="0" xfId="0" applyFont="1" applyFill="1" applyBorder="1" applyAlignment="1" applyProtection="1">
      <alignment vertical="center"/>
    </xf>
    <xf numFmtId="0" fontId="9" fillId="9" borderId="9" xfId="0" applyFont="1" applyFill="1" applyBorder="1" applyAlignment="1" applyProtection="1">
      <alignment vertical="center"/>
    </xf>
    <xf numFmtId="0" fontId="5" fillId="9" borderId="6" xfId="0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vertical="center"/>
    </xf>
    <xf numFmtId="0" fontId="5" fillId="9" borderId="6" xfId="0" applyFont="1" applyFill="1" applyBorder="1" applyAlignment="1" applyProtection="1">
      <alignment horizontal="left" vertical="center"/>
    </xf>
    <xf numFmtId="0" fontId="5" fillId="9" borderId="6" xfId="0" applyFont="1" applyFill="1" applyBorder="1" applyAlignment="1" applyProtection="1">
      <alignment vertical="center"/>
    </xf>
    <xf numFmtId="0" fontId="0" fillId="9" borderId="6" xfId="0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4" xfId="0" applyFont="1" applyFill="1" applyBorder="1"/>
    <xf numFmtId="0" fontId="5" fillId="7" borderId="3" xfId="0" applyFont="1" applyFill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0" fillId="0" borderId="0" xfId="0" applyFont="1" applyBorder="1"/>
    <xf numFmtId="0" fontId="0" fillId="6" borderId="3" xfId="0" applyFill="1" applyBorder="1"/>
    <xf numFmtId="0" fontId="5" fillId="0" borderId="11" xfId="0" applyFont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164" fontId="3" fillId="5" borderId="1" xfId="0" applyNumberFormat="1" applyFont="1" applyFill="1" applyBorder="1" applyAlignment="1" applyProtection="1">
      <alignment horizontal="right"/>
      <protection locked="0"/>
    </xf>
    <xf numFmtId="0" fontId="12" fillId="9" borderId="0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 applyProtection="1">
      <alignment horizontal="right" vertical="center"/>
      <protection locked="0"/>
    </xf>
    <xf numFmtId="0" fontId="3" fillId="10" borderId="1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5" fillId="9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9" borderId="0" xfId="0" applyFont="1" applyFill="1" applyBorder="1" applyAlignment="1">
      <alignment horizontal="right" vertical="center"/>
    </xf>
    <xf numFmtId="0" fontId="5" fillId="9" borderId="0" xfId="0" applyFont="1" applyFill="1" applyBorder="1" applyAlignment="1">
      <alignment horizontal="left" vertical="center"/>
    </xf>
    <xf numFmtId="0" fontId="0" fillId="0" borderId="11" xfId="0" applyFont="1" applyBorder="1"/>
    <xf numFmtId="0" fontId="0" fillId="9" borderId="0" xfId="0" applyFont="1" applyFill="1" applyBorder="1" applyAlignment="1">
      <alignment vertical="center"/>
    </xf>
    <xf numFmtId="0" fontId="0" fillId="9" borderId="0" xfId="0" applyFill="1" applyBorder="1" applyAlignment="1"/>
    <xf numFmtId="0" fontId="29" fillId="0" borderId="0" xfId="0" applyFont="1" applyBorder="1" applyAlignment="1">
      <alignment horizontal="left"/>
    </xf>
    <xf numFmtId="0" fontId="9" fillId="0" borderId="0" xfId="0" applyFont="1" applyFill="1" applyBorder="1"/>
    <xf numFmtId="0" fontId="12" fillId="4" borderId="10" xfId="0" applyFont="1" applyFill="1" applyBorder="1" applyAlignment="1">
      <alignment horizontal="left"/>
    </xf>
    <xf numFmtId="0" fontId="3" fillId="0" borderId="0" xfId="0" applyFont="1" applyFill="1"/>
    <xf numFmtId="0" fontId="6" fillId="0" borderId="0" xfId="0" applyFont="1" applyAlignment="1">
      <alignment horizontal="center"/>
    </xf>
    <xf numFmtId="0" fontId="1" fillId="10" borderId="2" xfId="0" applyFont="1" applyFill="1" applyBorder="1" applyProtection="1"/>
    <xf numFmtId="0" fontId="0" fillId="10" borderId="3" xfId="0" applyFill="1" applyBorder="1"/>
    <xf numFmtId="0" fontId="9" fillId="10" borderId="2" xfId="0" applyFont="1" applyFill="1" applyBorder="1" applyAlignment="1" applyProtection="1">
      <alignment horizontal="right"/>
    </xf>
    <xf numFmtId="0" fontId="1" fillId="10" borderId="3" xfId="0" applyFont="1" applyFill="1" applyBorder="1" applyProtection="1"/>
    <xf numFmtId="182" fontId="3" fillId="0" borderId="0" xfId="0" applyNumberFormat="1" applyFont="1"/>
    <xf numFmtId="1" fontId="3" fillId="2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Border="1"/>
    <xf numFmtId="0" fontId="9" fillId="0" borderId="0" xfId="0" applyFont="1" applyAlignment="1">
      <alignment vertical="top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/>
    <xf numFmtId="0" fontId="22" fillId="0" borderId="0" xfId="0" applyFont="1" applyFill="1"/>
    <xf numFmtId="0" fontId="3" fillId="9" borderId="6" xfId="0" applyFont="1" applyFill="1" applyBorder="1" applyAlignment="1"/>
    <xf numFmtId="0" fontId="69" fillId="9" borderId="0" xfId="0" applyFont="1" applyFill="1" applyBorder="1"/>
    <xf numFmtId="0" fontId="4" fillId="9" borderId="0" xfId="0" applyFont="1" applyFill="1" applyBorder="1"/>
    <xf numFmtId="0" fontId="9" fillId="9" borderId="0" xfId="0" applyFont="1" applyFill="1" applyBorder="1" applyAlignment="1">
      <alignment horizontal="right" vertical="center"/>
    </xf>
    <xf numFmtId="0" fontId="39" fillId="9" borderId="0" xfId="0" applyFont="1" applyFill="1" applyBorder="1" applyAlignment="1" applyProtection="1">
      <alignment horizontal="left" vertical="center"/>
    </xf>
    <xf numFmtId="11" fontId="3" fillId="9" borderId="0" xfId="0" applyNumberFormat="1" applyFont="1" applyFill="1" applyBorder="1"/>
    <xf numFmtId="11" fontId="29" fillId="9" borderId="0" xfId="0" applyNumberFormat="1" applyFont="1" applyFill="1" applyBorder="1" applyAlignment="1">
      <alignment horizontal="left"/>
    </xf>
    <xf numFmtId="11" fontId="29" fillId="9" borderId="0" xfId="0" applyNumberFormat="1" applyFont="1" applyFill="1" applyBorder="1" applyAlignment="1"/>
    <xf numFmtId="0" fontId="3" fillId="9" borderId="9" xfId="0" applyFont="1" applyFill="1" applyBorder="1" applyAlignment="1">
      <alignment horizontal="center"/>
    </xf>
    <xf numFmtId="165" fontId="6" fillId="9" borderId="0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top"/>
    </xf>
    <xf numFmtId="2" fontId="3" fillId="5" borderId="1" xfId="0" applyNumberFormat="1" applyFont="1" applyFill="1" applyBorder="1" applyProtection="1">
      <protection locked="0"/>
    </xf>
    <xf numFmtId="0" fontId="36" fillId="9" borderId="0" xfId="0" applyFont="1" applyFill="1" applyBorder="1" applyAlignment="1" applyProtection="1">
      <alignment horizontal="center"/>
    </xf>
    <xf numFmtId="0" fontId="57" fillId="9" borderId="0" xfId="0" applyFont="1" applyFill="1" applyBorder="1" applyAlignment="1" applyProtection="1">
      <alignment horizontal="center"/>
    </xf>
    <xf numFmtId="0" fontId="8" fillId="9" borderId="0" xfId="0" applyFont="1" applyFill="1" applyBorder="1" applyAlignment="1" applyProtection="1">
      <alignment horizontal="right" vertical="center"/>
    </xf>
    <xf numFmtId="0" fontId="8" fillId="9" borderId="0" xfId="0" applyFont="1" applyFill="1" applyBorder="1" applyAlignment="1">
      <alignment horizontal="right" vertical="center"/>
    </xf>
    <xf numFmtId="0" fontId="14" fillId="9" borderId="0" xfId="0" applyFont="1" applyFill="1" applyBorder="1" applyAlignment="1" applyProtection="1">
      <alignment vertical="center"/>
    </xf>
    <xf numFmtId="0" fontId="20" fillId="9" borderId="0" xfId="0" applyFont="1" applyFill="1" applyBorder="1" applyAlignment="1" applyProtection="1">
      <alignment horizontal="right"/>
    </xf>
    <xf numFmtId="0" fontId="9" fillId="9" borderId="0" xfId="0" applyFont="1" applyFill="1" applyBorder="1" applyAlignment="1">
      <alignment vertical="center"/>
    </xf>
    <xf numFmtId="0" fontId="9" fillId="9" borderId="0" xfId="0" applyFont="1" applyFill="1" applyBorder="1" applyAlignment="1"/>
    <xf numFmtId="0" fontId="2" fillId="9" borderId="0" xfId="0" applyFont="1" applyFill="1" applyBorder="1" applyAlignment="1" applyProtection="1">
      <alignment horizontal="center"/>
    </xf>
    <xf numFmtId="0" fontId="6" fillId="9" borderId="0" xfId="0" applyFont="1" applyFill="1" applyBorder="1" applyAlignment="1">
      <alignment horizontal="right"/>
    </xf>
    <xf numFmtId="0" fontId="50" fillId="9" borderId="0" xfId="0" applyFont="1" applyFill="1" applyBorder="1" applyAlignment="1">
      <alignment horizontal="right" vertical="center"/>
    </xf>
    <xf numFmtId="0" fontId="106" fillId="9" borderId="0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right"/>
    </xf>
    <xf numFmtId="0" fontId="0" fillId="9" borderId="0" xfId="0" applyFill="1" applyBorder="1" applyAlignment="1" applyProtection="1">
      <alignment horizontal="right"/>
    </xf>
    <xf numFmtId="0" fontId="9" fillId="9" borderId="6" xfId="0" applyFont="1" applyFill="1" applyBorder="1" applyProtection="1"/>
    <xf numFmtId="0" fontId="40" fillId="9" borderId="0" xfId="0" applyFont="1" applyFill="1" applyBorder="1" applyAlignment="1" applyProtection="1">
      <alignment horizontal="center"/>
    </xf>
    <xf numFmtId="0" fontId="14" fillId="9" borderId="0" xfId="0" applyFont="1" applyFill="1" applyBorder="1" applyAlignment="1" applyProtection="1">
      <alignment horizontal="right" vertical="center"/>
    </xf>
    <xf numFmtId="0" fontId="20" fillId="9" borderId="0" xfId="0" applyFont="1" applyFill="1" applyBorder="1" applyAlignment="1" applyProtection="1">
      <alignment horizontal="right" vertical="center"/>
    </xf>
    <xf numFmtId="0" fontId="20" fillId="9" borderId="0" xfId="0" applyFont="1" applyFill="1" applyBorder="1" applyAlignment="1" applyProtection="1">
      <alignment vertical="center"/>
    </xf>
    <xf numFmtId="0" fontId="30" fillId="9" borderId="0" xfId="0" applyFont="1" applyFill="1" applyBorder="1" applyAlignment="1" applyProtection="1">
      <alignment horizontal="center"/>
    </xf>
    <xf numFmtId="0" fontId="36" fillId="9" borderId="0" xfId="0" applyFont="1" applyFill="1" applyBorder="1" applyAlignment="1" applyProtection="1">
      <alignment horizontal="right"/>
    </xf>
    <xf numFmtId="0" fontId="12" fillId="9" borderId="0" xfId="0" applyFont="1" applyFill="1" applyBorder="1" applyProtection="1"/>
    <xf numFmtId="0" fontId="0" fillId="9" borderId="11" xfId="0" applyFill="1" applyBorder="1" applyAlignment="1">
      <alignment vertical="top"/>
    </xf>
    <xf numFmtId="0" fontId="20" fillId="9" borderId="0" xfId="0" applyFont="1" applyFill="1" applyBorder="1"/>
    <xf numFmtId="0" fontId="6" fillId="9" borderId="6" xfId="0" applyFont="1" applyFill="1" applyBorder="1" applyAlignment="1" applyProtection="1">
      <alignment horizontal="center" vertical="center"/>
    </xf>
    <xf numFmtId="1" fontId="1" fillId="8" borderId="7" xfId="0" applyNumberFormat="1" applyFont="1" applyFill="1" applyBorder="1" applyProtection="1"/>
    <xf numFmtId="1" fontId="1" fillId="8" borderId="9" xfId="0" applyNumberFormat="1" applyFont="1" applyFill="1" applyBorder="1" applyProtection="1"/>
    <xf numFmtId="0" fontId="36" fillId="8" borderId="12" xfId="0" applyFont="1" applyFill="1" applyBorder="1" applyAlignment="1" applyProtection="1">
      <alignment horizontal="center"/>
    </xf>
    <xf numFmtId="164" fontId="0" fillId="0" borderId="0" xfId="0" applyNumberFormat="1" applyFill="1" applyBorder="1"/>
    <xf numFmtId="0" fontId="5" fillId="9" borderId="8" xfId="0" applyFont="1" applyFill="1" applyBorder="1" applyAlignment="1"/>
    <xf numFmtId="0" fontId="0" fillId="9" borderId="5" xfId="0" applyFill="1" applyBorder="1" applyAlignment="1">
      <alignment vertical="center"/>
    </xf>
    <xf numFmtId="0" fontId="5" fillId="9" borderId="10" xfId="0" applyFont="1" applyFill="1" applyBorder="1"/>
    <xf numFmtId="172" fontId="3" fillId="11" borderId="1" xfId="0" applyNumberFormat="1" applyFont="1" applyFill="1" applyBorder="1"/>
    <xf numFmtId="0" fontId="0" fillId="9" borderId="0" xfId="0" applyFill="1"/>
    <xf numFmtId="0" fontId="122" fillId="0" borderId="0" xfId="0" applyFont="1" applyProtection="1">
      <protection locked="0"/>
    </xf>
    <xf numFmtId="0" fontId="122" fillId="0" borderId="0" xfId="0" applyFont="1" applyAlignment="1" applyProtection="1">
      <alignment vertical="center"/>
      <protection locked="0"/>
    </xf>
    <xf numFmtId="0" fontId="122" fillId="0" borderId="0" xfId="0" applyFont="1" applyFill="1" applyProtection="1">
      <protection locked="0"/>
    </xf>
    <xf numFmtId="0" fontId="123" fillId="0" borderId="0" xfId="0" applyFont="1" applyProtection="1">
      <protection locked="0"/>
    </xf>
    <xf numFmtId="0" fontId="122" fillId="0" borderId="0" xfId="0" applyFont="1" applyAlignment="1" applyProtection="1">
      <alignment vertical="top"/>
      <protection locked="0"/>
    </xf>
    <xf numFmtId="0" fontId="125" fillId="0" borderId="0" xfId="1" applyFont="1" applyAlignment="1" applyProtection="1">
      <protection locked="0"/>
    </xf>
    <xf numFmtId="0" fontId="9" fillId="0" borderId="0" xfId="0" applyFont="1" applyAlignment="1"/>
    <xf numFmtId="0" fontId="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11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6" fillId="0" borderId="0" xfId="0" applyFont="1" applyAlignment="1">
      <alignment horizontal="center"/>
    </xf>
    <xf numFmtId="0" fontId="113" fillId="9" borderId="0" xfId="0" applyFont="1" applyFill="1" applyBorder="1" applyProtection="1"/>
    <xf numFmtId="0" fontId="50" fillId="9" borderId="0" xfId="0" applyFont="1" applyFill="1" applyBorder="1" applyAlignment="1">
      <alignment horizontal="center"/>
    </xf>
    <xf numFmtId="0" fontId="52" fillId="9" borderId="0" xfId="0" applyFont="1" applyFill="1" applyBorder="1" applyAlignment="1">
      <alignment horizontal="center"/>
    </xf>
    <xf numFmtId="0" fontId="83" fillId="9" borderId="0" xfId="0" applyFont="1" applyFill="1" applyBorder="1" applyAlignment="1">
      <alignment horizontal="center"/>
    </xf>
    <xf numFmtId="0" fontId="69" fillId="9" borderId="0" xfId="0" applyFont="1" applyFill="1" applyBorder="1" applyAlignment="1">
      <alignment horizontal="right"/>
    </xf>
    <xf numFmtId="0" fontId="41" fillId="9" borderId="0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/>
    <xf numFmtId="165" fontId="36" fillId="0" borderId="0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11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left"/>
    </xf>
    <xf numFmtId="171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36" fillId="9" borderId="6" xfId="0" applyFont="1" applyFill="1" applyBorder="1" applyAlignment="1">
      <alignment horizontal="right"/>
    </xf>
    <xf numFmtId="0" fontId="117" fillId="9" borderId="0" xfId="0" applyFont="1" applyFill="1" applyBorder="1" applyAlignment="1">
      <alignment horizontal="center"/>
    </xf>
    <xf numFmtId="165" fontId="3" fillId="9" borderId="0" xfId="0" applyNumberFormat="1" applyFont="1" applyFill="1" applyBorder="1" applyAlignment="1">
      <alignment vertical="center"/>
    </xf>
    <xf numFmtId="169" fontId="3" fillId="9" borderId="0" xfId="0" applyNumberFormat="1" applyFont="1" applyFill="1" applyBorder="1" applyAlignment="1">
      <alignment vertical="center"/>
    </xf>
    <xf numFmtId="0" fontId="30" fillId="9" borderId="0" xfId="0" applyFont="1" applyFill="1" applyBorder="1" applyAlignment="1">
      <alignment horizontal="right" vertical="center"/>
    </xf>
    <xf numFmtId="0" fontId="9" fillId="9" borderId="11" xfId="0" applyFont="1" applyFill="1" applyBorder="1"/>
    <xf numFmtId="165" fontId="3" fillId="9" borderId="6" xfId="0" applyNumberFormat="1" applyFont="1" applyFill="1" applyBorder="1" applyAlignment="1">
      <alignment vertical="center"/>
    </xf>
    <xf numFmtId="0" fontId="1" fillId="9" borderId="6" xfId="0" applyFont="1" applyFill="1" applyBorder="1" applyProtection="1"/>
    <xf numFmtId="0" fontId="127" fillId="9" borderId="0" xfId="0" applyFont="1" applyFill="1" applyBorder="1" applyAlignment="1">
      <alignment horizontal="center"/>
    </xf>
    <xf numFmtId="2" fontId="3" fillId="9" borderId="0" xfId="0" applyNumberFormat="1" applyFont="1" applyFill="1" applyBorder="1" applyAlignment="1">
      <alignment vertical="center"/>
    </xf>
    <xf numFmtId="0" fontId="9" fillId="9" borderId="8" xfId="0" applyFont="1" applyFill="1" applyBorder="1" applyAlignment="1">
      <alignment vertical="top"/>
    </xf>
    <xf numFmtId="0" fontId="9" fillId="9" borderId="0" xfId="0" applyFont="1" applyFill="1" applyBorder="1" applyAlignment="1">
      <alignment horizontal="right" vertical="top"/>
    </xf>
    <xf numFmtId="0" fontId="9" fillId="9" borderId="0" xfId="0" applyFont="1" applyFill="1" applyBorder="1" applyAlignment="1">
      <alignment vertical="top"/>
    </xf>
    <xf numFmtId="0" fontId="9" fillId="9" borderId="9" xfId="0" applyFont="1" applyFill="1" applyBorder="1" applyAlignment="1">
      <alignment vertical="top"/>
    </xf>
    <xf numFmtId="0" fontId="36" fillId="9" borderId="6" xfId="0" applyFont="1" applyFill="1" applyBorder="1" applyAlignment="1" applyProtection="1">
      <alignment horizontal="right"/>
    </xf>
    <xf numFmtId="0" fontId="29" fillId="9" borderId="0" xfId="0" applyFont="1" applyFill="1" applyBorder="1" applyAlignment="1" applyProtection="1">
      <alignment horizontal="left" vertical="center"/>
    </xf>
    <xf numFmtId="0" fontId="31" fillId="9" borderId="8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 applyProtection="1">
      <alignment vertical="center"/>
    </xf>
    <xf numFmtId="0" fontId="0" fillId="9" borderId="11" xfId="0" applyFill="1" applyBorder="1" applyAlignment="1" applyProtection="1">
      <alignment horizontal="right"/>
    </xf>
    <xf numFmtId="0" fontId="3" fillId="9" borderId="11" xfId="0" applyFont="1" applyFill="1" applyBorder="1" applyAlignment="1" applyProtection="1">
      <alignment horizontal="right"/>
    </xf>
    <xf numFmtId="0" fontId="3" fillId="9" borderId="11" xfId="0" applyFont="1" applyFill="1" applyBorder="1" applyAlignment="1" applyProtection="1">
      <alignment horizontal="left"/>
    </xf>
    <xf numFmtId="0" fontId="9" fillId="9" borderId="8" xfId="0" applyFont="1" applyFill="1" applyBorder="1" applyAlignment="1" applyProtection="1">
      <alignment horizontal="left"/>
    </xf>
    <xf numFmtId="11" fontId="3" fillId="9" borderId="11" xfId="0" applyNumberFormat="1" applyFont="1" applyFill="1" applyBorder="1" applyAlignment="1" applyProtection="1">
      <alignment horizontal="right"/>
    </xf>
    <xf numFmtId="172" fontId="3" fillId="9" borderId="0" xfId="0" applyNumberFormat="1" applyFont="1" applyFill="1" applyBorder="1" applyAlignment="1">
      <alignment vertical="center"/>
    </xf>
    <xf numFmtId="0" fontId="0" fillId="0" borderId="9" xfId="0" applyFont="1" applyBorder="1"/>
    <xf numFmtId="172" fontId="3" fillId="0" borderId="0" xfId="0" applyNumberFormat="1" applyFont="1" applyFill="1" applyBorder="1" applyAlignment="1">
      <alignment vertical="center"/>
    </xf>
    <xf numFmtId="0" fontId="67" fillId="9" borderId="0" xfId="0" applyFont="1" applyFill="1" applyBorder="1" applyAlignment="1">
      <alignment horizontal="center" vertical="top"/>
    </xf>
    <xf numFmtId="2" fontId="3" fillId="9" borderId="11" xfId="0" applyNumberFormat="1" applyFont="1" applyFill="1" applyBorder="1"/>
    <xf numFmtId="0" fontId="0" fillId="9" borderId="12" xfId="0" applyFont="1" applyFill="1" applyBorder="1"/>
    <xf numFmtId="169" fontId="3" fillId="5" borderId="1" xfId="0" applyNumberFormat="1" applyFont="1" applyFill="1" applyBorder="1" applyAlignment="1" applyProtection="1">
      <alignment vertical="center"/>
      <protection locked="0"/>
    </xf>
    <xf numFmtId="0" fontId="62" fillId="9" borderId="0" xfId="0" applyFont="1" applyFill="1" applyBorder="1" applyAlignment="1" applyProtection="1">
      <alignment horizontal="center"/>
    </xf>
    <xf numFmtId="2" fontId="9" fillId="9" borderId="0" xfId="0" applyNumberFormat="1" applyFont="1" applyFill="1" applyBorder="1" applyAlignment="1" applyProtection="1">
      <alignment horizontal="center"/>
    </xf>
    <xf numFmtId="2" fontId="27" fillId="10" borderId="2" xfId="0" applyNumberFormat="1" applyFont="1" applyFill="1" applyBorder="1" applyProtection="1"/>
    <xf numFmtId="0" fontId="0" fillId="10" borderId="4" xfId="0" applyFill="1" applyBorder="1"/>
    <xf numFmtId="0" fontId="9" fillId="6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3" fillId="10" borderId="2" xfId="0" applyFont="1" applyFill="1" applyBorder="1"/>
    <xf numFmtId="0" fontId="9" fillId="6" borderId="29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top"/>
    </xf>
    <xf numFmtId="0" fontId="3" fillId="9" borderId="2" xfId="0" applyFont="1" applyFill="1" applyBorder="1"/>
    <xf numFmtId="0" fontId="3" fillId="9" borderId="4" xfId="0" applyFont="1" applyFill="1" applyBorder="1"/>
    <xf numFmtId="0" fontId="3" fillId="9" borderId="3" xfId="0" applyFont="1" applyFill="1" applyBorder="1"/>
    <xf numFmtId="0" fontId="9" fillId="9" borderId="11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9" borderId="3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168" fontId="3" fillId="9" borderId="9" xfId="0" applyNumberFormat="1" applyFont="1" applyFill="1" applyBorder="1"/>
    <xf numFmtId="165" fontId="3" fillId="9" borderId="9" xfId="0" applyNumberFormat="1" applyFont="1" applyFill="1" applyBorder="1"/>
    <xf numFmtId="11" fontId="3" fillId="9" borderId="9" xfId="0" applyNumberFormat="1" applyFont="1" applyFill="1" applyBorder="1"/>
    <xf numFmtId="169" fontId="3" fillId="9" borderId="9" xfId="0" applyNumberFormat="1" applyFont="1" applyFill="1" applyBorder="1"/>
    <xf numFmtId="171" fontId="2" fillId="9" borderId="9" xfId="0" applyNumberFormat="1" applyFont="1" applyFill="1" applyBorder="1" applyAlignment="1">
      <alignment vertical="center"/>
    </xf>
    <xf numFmtId="2" fontId="3" fillId="9" borderId="9" xfId="0" applyNumberFormat="1" applyFont="1" applyFill="1" applyBorder="1"/>
    <xf numFmtId="178" fontId="3" fillId="9" borderId="9" xfId="0" applyNumberFormat="1" applyFont="1" applyFill="1" applyBorder="1"/>
    <xf numFmtId="0" fontId="8" fillId="9" borderId="9" xfId="0" applyFont="1" applyFill="1" applyBorder="1"/>
    <xf numFmtId="0" fontId="3" fillId="9" borderId="9" xfId="0" applyFont="1" applyFill="1" applyBorder="1" applyProtection="1">
      <protection locked="0"/>
    </xf>
    <xf numFmtId="0" fontId="29" fillId="9" borderId="9" xfId="0" applyFont="1" applyFill="1" applyBorder="1" applyAlignment="1" applyProtection="1">
      <alignment horizontal="left"/>
    </xf>
    <xf numFmtId="0" fontId="0" fillId="9" borderId="9" xfId="0" applyFill="1" applyBorder="1" applyAlignment="1">
      <alignment horizontal="center"/>
    </xf>
    <xf numFmtId="0" fontId="14" fillId="9" borderId="0" xfId="0" applyFont="1" applyFill="1" applyBorder="1" applyAlignment="1">
      <alignment vertical="center"/>
    </xf>
    <xf numFmtId="0" fontId="130" fillId="6" borderId="2" xfId="0" applyFont="1" applyFill="1" applyBorder="1"/>
    <xf numFmtId="0" fontId="130" fillId="6" borderId="3" xfId="0" applyFont="1" applyFill="1" applyBorder="1"/>
    <xf numFmtId="0" fontId="114" fillId="6" borderId="4" xfId="0" applyFont="1" applyFill="1" applyBorder="1"/>
    <xf numFmtId="0" fontId="9" fillId="9" borderId="4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vertical="top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6" borderId="2" xfId="0" applyFont="1" applyFill="1" applyBorder="1"/>
    <xf numFmtId="0" fontId="8" fillId="6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3" fillId="4" borderId="3" xfId="0" applyFont="1" applyFill="1" applyBorder="1"/>
    <xf numFmtId="0" fontId="8" fillId="4" borderId="2" xfId="0" applyFont="1" applyFill="1" applyBorder="1"/>
    <xf numFmtId="0" fontId="0" fillId="4" borderId="4" xfId="0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8" fillId="0" borderId="0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8" fillId="4" borderId="7" xfId="0" applyFont="1" applyFill="1" applyBorder="1"/>
    <xf numFmtId="0" fontId="0" fillId="4" borderId="8" xfId="0" applyFill="1" applyBorder="1"/>
    <xf numFmtId="0" fontId="8" fillId="4" borderId="0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8" fillId="4" borderId="11" xfId="0" applyFont="1" applyFill="1" applyBorder="1"/>
    <xf numFmtId="0" fontId="8" fillId="4" borderId="12" xfId="0" applyFont="1" applyFill="1" applyBorder="1"/>
    <xf numFmtId="0" fontId="8" fillId="4" borderId="8" xfId="0" applyFont="1" applyFill="1" applyBorder="1"/>
    <xf numFmtId="0" fontId="0" fillId="4" borderId="7" xfId="0" applyFill="1" applyBorder="1"/>
    <xf numFmtId="0" fontId="0" fillId="4" borderId="9" xfId="0" applyFill="1" applyBorder="1"/>
    <xf numFmtId="0" fontId="8" fillId="6" borderId="4" xfId="0" applyFont="1" applyFill="1" applyBorder="1"/>
    <xf numFmtId="0" fontId="8" fillId="10" borderId="2" xfId="0" applyFont="1" applyFill="1" applyBorder="1"/>
    <xf numFmtId="0" fontId="8" fillId="10" borderId="3" xfId="0" applyFont="1" applyFill="1" applyBorder="1"/>
    <xf numFmtId="0" fontId="25" fillId="0" borderId="0" xfId="0" applyFont="1"/>
    <xf numFmtId="0" fontId="8" fillId="0" borderId="0" xfId="0" applyFont="1" applyFill="1"/>
    <xf numFmtId="11" fontId="3" fillId="0" borderId="0" xfId="0" applyNumberFormat="1" applyFont="1" applyFill="1"/>
    <xf numFmtId="0" fontId="8" fillId="0" borderId="0" xfId="0" applyFont="1" applyBorder="1"/>
    <xf numFmtId="0" fontId="8" fillId="0" borderId="11" xfId="0" applyFont="1" applyBorder="1"/>
    <xf numFmtId="0" fontId="2" fillId="9" borderId="6" xfId="0" applyFont="1" applyFill="1" applyBorder="1" applyAlignment="1">
      <alignment horizontal="center"/>
    </xf>
    <xf numFmtId="0" fontId="31" fillId="9" borderId="0" xfId="0" applyFont="1" applyFill="1" applyBorder="1" applyAlignment="1">
      <alignment horizontal="left"/>
    </xf>
    <xf numFmtId="0" fontId="76" fillId="9" borderId="0" xfId="0" applyFont="1" applyFill="1" applyBorder="1" applyAlignment="1">
      <alignment horizontal="center"/>
    </xf>
    <xf numFmtId="0" fontId="8" fillId="9" borderId="0" xfId="0" applyFont="1" applyFill="1" applyBorder="1"/>
    <xf numFmtId="0" fontId="74" fillId="9" borderId="0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right"/>
    </xf>
    <xf numFmtId="0" fontId="54" fillId="9" borderId="0" xfId="0" applyFont="1" applyFill="1" applyBorder="1" applyAlignment="1">
      <alignment horizontal="center"/>
    </xf>
    <xf numFmtId="0" fontId="8" fillId="9" borderId="10" xfId="0" applyFont="1" applyFill="1" applyBorder="1"/>
    <xf numFmtId="0" fontId="8" fillId="9" borderId="11" xfId="0" applyFont="1" applyFill="1" applyBorder="1"/>
    <xf numFmtId="0" fontId="8" fillId="9" borderId="6" xfId="0" applyFont="1" applyFill="1" applyBorder="1"/>
    <xf numFmtId="165" fontId="8" fillId="9" borderId="0" xfId="0" applyNumberFormat="1" applyFont="1" applyFill="1" applyBorder="1" applyAlignment="1">
      <alignment horizontal="center"/>
    </xf>
    <xf numFmtId="0" fontId="62" fillId="9" borderId="0" xfId="0" applyFont="1" applyFill="1" applyBorder="1" applyAlignment="1">
      <alignment horizontal="center"/>
    </xf>
    <xf numFmtId="0" fontId="21" fillId="9" borderId="0" xfId="0" applyFont="1" applyFill="1" applyBorder="1" applyAlignment="1">
      <alignment horizontal="right"/>
    </xf>
    <xf numFmtId="0" fontId="14" fillId="9" borderId="0" xfId="0" applyFont="1" applyFill="1" applyBorder="1" applyAlignment="1">
      <alignment horizontal="right"/>
    </xf>
    <xf numFmtId="0" fontId="14" fillId="9" borderId="0" xfId="0" applyFont="1" applyFill="1" applyBorder="1"/>
    <xf numFmtId="0" fontId="7" fillId="9" borderId="11" xfId="0" applyFont="1" applyFill="1" applyBorder="1" applyAlignment="1">
      <alignment horizontal="center"/>
    </xf>
    <xf numFmtId="0" fontId="14" fillId="9" borderId="9" xfId="0" applyFont="1" applyFill="1" applyBorder="1"/>
    <xf numFmtId="0" fontId="8" fillId="9" borderId="12" xfId="0" applyFont="1" applyFill="1" applyBorder="1"/>
    <xf numFmtId="0" fontId="7" fillId="9" borderId="6" xfId="0" applyFont="1" applyFill="1" applyBorder="1" applyAlignment="1">
      <alignment horizontal="center"/>
    </xf>
    <xf numFmtId="0" fontId="20" fillId="9" borderId="6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165" fontId="8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1" fontId="3" fillId="10" borderId="1" xfId="0" applyNumberFormat="1" applyFont="1" applyFill="1" applyBorder="1" applyAlignment="1" applyProtection="1">
      <alignment vertical="center"/>
    </xf>
    <xf numFmtId="11" fontId="0" fillId="0" borderId="0" xfId="0" applyNumberFormat="1"/>
    <xf numFmtId="11" fontId="3" fillId="10" borderId="1" xfId="0" applyNumberFormat="1" applyFont="1" applyFill="1" applyBorder="1"/>
    <xf numFmtId="0" fontId="22" fillId="0" borderId="0" xfId="0" applyFont="1" applyFill="1" applyBorder="1"/>
    <xf numFmtId="0" fontId="126" fillId="0" borderId="0" xfId="0" applyFont="1" applyFill="1"/>
    <xf numFmtId="0" fontId="21" fillId="9" borderId="11" xfId="0" applyFont="1" applyFill="1" applyBorder="1"/>
    <xf numFmtId="0" fontId="36" fillId="9" borderId="0" xfId="0" applyFont="1" applyFill="1" applyBorder="1" applyAlignment="1"/>
    <xf numFmtId="0" fontId="134" fillId="0" borderId="0" xfId="0" applyFont="1" applyFill="1"/>
    <xf numFmtId="0" fontId="124" fillId="0" borderId="0" xfId="0" applyFont="1" applyFill="1"/>
    <xf numFmtId="0" fontId="8" fillId="9" borderId="0" xfId="0" applyFont="1" applyFill="1" applyBorder="1" applyAlignment="1">
      <alignment vertical="center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0" fontId="6" fillId="9" borderId="0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0" fillId="9" borderId="0" xfId="0" applyFill="1" applyBorder="1" applyAlignment="1">
      <alignment horizontal="right" vertical="center"/>
    </xf>
    <xf numFmtId="0" fontId="3" fillId="9" borderId="0" xfId="0" applyFont="1" applyFill="1" applyBorder="1" applyAlignment="1">
      <alignment horizontal="right" vertical="top"/>
    </xf>
    <xf numFmtId="0" fontId="3" fillId="0" borderId="0" xfId="0" applyFont="1" applyBorder="1" applyAlignment="1">
      <alignment horizontal="right" vertical="center"/>
    </xf>
    <xf numFmtId="164" fontId="2" fillId="9" borderId="0" xfId="0" applyNumberFormat="1" applyFont="1" applyFill="1" applyBorder="1" applyAlignment="1">
      <alignment horizontal="right"/>
    </xf>
    <xf numFmtId="175" fontId="2" fillId="9" borderId="0" xfId="0" applyNumberFormat="1" applyFont="1" applyFill="1" applyBorder="1" applyAlignment="1">
      <alignment horizontal="right"/>
    </xf>
    <xf numFmtId="172" fontId="2" fillId="9" borderId="0" xfId="0" applyNumberFormat="1" applyFont="1" applyFill="1" applyBorder="1" applyAlignment="1">
      <alignment horizontal="right"/>
    </xf>
    <xf numFmtId="175" fontId="51" fillId="9" borderId="0" xfId="0" applyNumberFormat="1" applyFont="1" applyFill="1" applyBorder="1" applyAlignment="1">
      <alignment horizontal="right"/>
    </xf>
    <xf numFmtId="173" fontId="2" fillId="9" borderId="0" xfId="0" applyNumberFormat="1" applyFont="1" applyFill="1" applyBorder="1" applyAlignment="1">
      <alignment horizontal="right"/>
    </xf>
    <xf numFmtId="165" fontId="2" fillId="9" borderId="0" xfId="0" applyNumberFormat="1" applyFont="1" applyFill="1" applyBorder="1" applyAlignment="1">
      <alignment horizontal="right"/>
    </xf>
    <xf numFmtId="0" fontId="3" fillId="10" borderId="3" xfId="0" applyFont="1" applyFill="1" applyBorder="1"/>
    <xf numFmtId="0" fontId="3" fillId="6" borderId="1" xfId="0" applyFont="1" applyFill="1" applyBorder="1" applyAlignment="1">
      <alignment horizontal="center" vertical="center"/>
    </xf>
    <xf numFmtId="174" fontId="7" fillId="9" borderId="0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0" xfId="0" applyFont="1" applyBorder="1" applyAlignment="1">
      <alignment vertical="top"/>
    </xf>
    <xf numFmtId="0" fontId="4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/>
    </xf>
    <xf numFmtId="2" fontId="3" fillId="5" borderId="1" xfId="0" applyNumberFormat="1" applyFont="1" applyFill="1" applyBorder="1" applyAlignment="1" applyProtection="1">
      <alignment horizontal="right"/>
      <protection locked="0"/>
    </xf>
    <xf numFmtId="0" fontId="9" fillId="9" borderId="1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top"/>
    </xf>
    <xf numFmtId="0" fontId="49" fillId="9" borderId="0" xfId="0" applyFont="1" applyFill="1" applyBorder="1"/>
    <xf numFmtId="0" fontId="20" fillId="9" borderId="11" xfId="0" applyFont="1" applyFill="1" applyBorder="1" applyAlignment="1">
      <alignment horizontal="center"/>
    </xf>
    <xf numFmtId="164" fontId="3" fillId="9" borderId="0" xfId="0" applyNumberFormat="1" applyFont="1" applyFill="1" applyBorder="1"/>
    <xf numFmtId="174" fontId="3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2" fontId="3" fillId="10" borderId="1" xfId="0" applyNumberFormat="1" applyFont="1" applyFill="1" applyBorder="1" applyAlignment="1">
      <alignment vertical="center"/>
    </xf>
    <xf numFmtId="0" fontId="3" fillId="9" borderId="23" xfId="0" applyFont="1" applyFill="1" applyBorder="1"/>
    <xf numFmtId="0" fontId="3" fillId="9" borderId="23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/>
    </xf>
    <xf numFmtId="0" fontId="3" fillId="0" borderId="9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9" fillId="9" borderId="5" xfId="0" applyFont="1" applyFill="1" applyBorder="1"/>
    <xf numFmtId="0" fontId="31" fillId="9" borderId="0" xfId="0" applyFont="1" applyFill="1" applyBorder="1" applyAlignment="1">
      <alignment horizontal="right"/>
    </xf>
    <xf numFmtId="0" fontId="0" fillId="9" borderId="10" xfId="0" applyFont="1" applyFill="1" applyBorder="1"/>
    <xf numFmtId="0" fontId="0" fillId="10" borderId="1" xfId="0" applyFont="1" applyFill="1" applyBorder="1"/>
    <xf numFmtId="0" fontId="0" fillId="10" borderId="2" xfId="0" applyFill="1" applyBorder="1"/>
    <xf numFmtId="0" fontId="12" fillId="0" borderId="0" xfId="0" applyFont="1" applyFill="1"/>
    <xf numFmtId="0" fontId="49" fillId="0" borderId="0" xfId="0" applyFont="1" applyFill="1"/>
    <xf numFmtId="2" fontId="29" fillId="9" borderId="0" xfId="0" applyNumberFormat="1" applyFont="1" applyFill="1" applyBorder="1" applyAlignment="1">
      <alignment horizontal="center"/>
    </xf>
    <xf numFmtId="0" fontId="36" fillId="9" borderId="0" xfId="0" applyFont="1" applyFill="1" applyBorder="1" applyAlignment="1">
      <alignment vertical="center"/>
    </xf>
    <xf numFmtId="0" fontId="0" fillId="9" borderId="8" xfId="0" applyFill="1" applyBorder="1" applyAlignment="1">
      <alignment vertical="top"/>
    </xf>
    <xf numFmtId="11" fontId="3" fillId="9" borderId="9" xfId="0" applyNumberFormat="1" applyFont="1" applyFill="1" applyBorder="1" applyAlignment="1">
      <alignment horizontal="left"/>
    </xf>
    <xf numFmtId="0" fontId="22" fillId="9" borderId="8" xfId="0" applyFont="1" applyFill="1" applyBorder="1"/>
    <xf numFmtId="0" fontId="29" fillId="9" borderId="9" xfId="0" applyFont="1" applyFill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6" fillId="9" borderId="7" xfId="0" applyFont="1" applyFill="1" applyBorder="1" applyAlignment="1">
      <alignment horizontal="right"/>
    </xf>
    <xf numFmtId="0" fontId="3" fillId="0" borderId="12" xfId="0" applyFont="1" applyBorder="1"/>
    <xf numFmtId="0" fontId="22" fillId="0" borderId="10" xfId="0" applyFont="1" applyFill="1" applyBorder="1"/>
    <xf numFmtId="0" fontId="29" fillId="0" borderId="11" xfId="0" applyFont="1" applyFill="1" applyBorder="1" applyAlignment="1">
      <alignment horizontal="center"/>
    </xf>
    <xf numFmtId="0" fontId="29" fillId="0" borderId="11" xfId="0" applyFont="1" applyFill="1" applyBorder="1" applyAlignment="1"/>
    <xf numFmtId="165" fontId="36" fillId="0" borderId="11" xfId="0" applyNumberFormat="1" applyFont="1" applyFill="1" applyBorder="1" applyAlignment="1">
      <alignment horizontal="right"/>
    </xf>
    <xf numFmtId="0" fontId="36" fillId="0" borderId="11" xfId="0" applyFont="1" applyFill="1" applyBorder="1" applyAlignment="1">
      <alignment horizontal="center"/>
    </xf>
    <xf numFmtId="11" fontId="29" fillId="0" borderId="11" xfId="0" applyNumberFormat="1" applyFont="1" applyFill="1" applyBorder="1" applyAlignment="1">
      <alignment horizontal="center"/>
    </xf>
    <xf numFmtId="2" fontId="29" fillId="0" borderId="11" xfId="0" applyNumberFormat="1" applyFont="1" applyFill="1" applyBorder="1" applyAlignment="1">
      <alignment horizontal="left"/>
    </xf>
    <xf numFmtId="171" fontId="29" fillId="0" borderId="11" xfId="0" applyNumberFormat="1" applyFont="1" applyFill="1" applyBorder="1" applyAlignment="1">
      <alignment horizontal="center"/>
    </xf>
    <xf numFmtId="0" fontId="29" fillId="0" borderId="11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8" fillId="9" borderId="0" xfId="0" applyFont="1" applyFill="1" applyBorder="1" applyAlignment="1" applyProtection="1">
      <alignment horizontal="left" vertical="center"/>
    </xf>
    <xf numFmtId="0" fontId="25" fillId="9" borderId="0" xfId="0" applyFont="1" applyFill="1" applyBorder="1"/>
    <xf numFmtId="0" fontId="31" fillId="9" borderId="0" xfId="0" applyFont="1" applyFill="1" applyBorder="1" applyAlignment="1"/>
    <xf numFmtId="0" fontId="0" fillId="0" borderId="11" xfId="0" applyBorder="1" applyAlignment="1">
      <alignment horizontal="center"/>
    </xf>
    <xf numFmtId="0" fontId="20" fillId="9" borderId="0" xfId="0" applyFont="1" applyFill="1" applyBorder="1" applyAlignment="1"/>
    <xf numFmtId="0" fontId="0" fillId="0" borderId="6" xfId="0" applyBorder="1"/>
    <xf numFmtId="0" fontId="54" fillId="0" borderId="0" xfId="0" applyFont="1" applyFill="1" applyBorder="1" applyAlignment="1">
      <alignment horizontal="center"/>
    </xf>
    <xf numFmtId="0" fontId="29" fillId="9" borderId="0" xfId="0" applyFont="1" applyFill="1" applyBorder="1" applyAlignment="1">
      <alignment vertical="top"/>
    </xf>
    <xf numFmtId="0" fontId="20" fillId="4" borderId="2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122" fillId="0" borderId="0" xfId="0" applyFont="1" applyAlignment="1">
      <alignment vertical="center"/>
    </xf>
    <xf numFmtId="0" fontId="122" fillId="0" borderId="0" xfId="0" applyFont="1"/>
    <xf numFmtId="2" fontId="3" fillId="11" borderId="1" xfId="0" applyNumberFormat="1" applyFont="1" applyFill="1" applyBorder="1" applyAlignment="1">
      <alignment vertical="center"/>
    </xf>
    <xf numFmtId="0" fontId="16" fillId="9" borderId="0" xfId="0" applyFont="1" applyFill="1" applyBorder="1" applyAlignment="1" applyProtection="1">
      <alignment horizontal="left" vertical="center"/>
    </xf>
    <xf numFmtId="0" fontId="50" fillId="9" borderId="0" xfId="0" applyFont="1" applyFill="1" applyBorder="1" applyAlignment="1">
      <alignment horizontal="right"/>
    </xf>
    <xf numFmtId="0" fontId="137" fillId="9" borderId="0" xfId="0" applyFont="1" applyFill="1" applyBorder="1" applyAlignment="1">
      <alignment horizontal="center"/>
    </xf>
    <xf numFmtId="0" fontId="27" fillId="9" borderId="0" xfId="0" applyFont="1" applyFill="1" applyBorder="1" applyAlignment="1">
      <alignment horizontal="left"/>
    </xf>
    <xf numFmtId="0" fontId="0" fillId="0" borderId="0" xfId="0" applyAlignment="1"/>
    <xf numFmtId="0" fontId="3" fillId="5" borderId="1" xfId="0" applyFont="1" applyFill="1" applyBorder="1" applyAlignment="1" applyProtection="1">
      <alignment vertical="top"/>
      <protection locked="0"/>
    </xf>
    <xf numFmtId="0" fontId="0" fillId="9" borderId="8" xfId="0" applyFill="1" applyBorder="1" applyAlignment="1"/>
    <xf numFmtId="0" fontId="0" fillId="9" borderId="9" xfId="0" applyFill="1" applyBorder="1" applyAlignment="1" applyProtection="1"/>
    <xf numFmtId="0" fontId="0" fillId="0" borderId="0" xfId="0" applyFill="1" applyAlignment="1"/>
    <xf numFmtId="0" fontId="5" fillId="9" borderId="11" xfId="0" applyFont="1" applyFill="1" applyBorder="1" applyAlignment="1">
      <alignment horizontal="left" vertical="top"/>
    </xf>
    <xf numFmtId="0" fontId="5" fillId="9" borderId="11" xfId="0" applyFont="1" applyFill="1" applyBorder="1" applyAlignment="1">
      <alignment horizontal="right" vertical="top"/>
    </xf>
    <xf numFmtId="0" fontId="93" fillId="9" borderId="11" xfId="0" applyFont="1" applyFill="1" applyBorder="1" applyAlignment="1">
      <alignment horizontal="center" vertical="center"/>
    </xf>
    <xf numFmtId="0" fontId="9" fillId="9" borderId="12" xfId="0" applyFont="1" applyFill="1" applyBorder="1"/>
    <xf numFmtId="0" fontId="2" fillId="9" borderId="5" xfId="0" applyFont="1" applyFill="1" applyBorder="1" applyAlignment="1">
      <alignment horizontal="center" vertical="center"/>
    </xf>
    <xf numFmtId="2" fontId="3" fillId="9" borderId="11" xfId="0" applyNumberFormat="1" applyFont="1" applyFill="1" applyBorder="1" applyAlignment="1">
      <alignment vertical="center"/>
    </xf>
    <xf numFmtId="0" fontId="5" fillId="0" borderId="0" xfId="0" applyFont="1" applyBorder="1"/>
    <xf numFmtId="0" fontId="14" fillId="9" borderId="0" xfId="0" applyFont="1" applyFill="1" applyBorder="1" applyAlignment="1">
      <alignment horizontal="left"/>
    </xf>
    <xf numFmtId="0" fontId="93" fillId="9" borderId="6" xfId="0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" vertical="center"/>
    </xf>
    <xf numFmtId="0" fontId="57" fillId="9" borderId="0" xfId="0" applyFont="1" applyFill="1" applyBorder="1" applyAlignment="1">
      <alignment horizontal="center"/>
    </xf>
    <xf numFmtId="0" fontId="50" fillId="9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/>
    <xf numFmtId="0" fontId="36" fillId="0" borderId="0" xfId="0" applyFont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1" fontId="0" fillId="0" borderId="0" xfId="0" applyNumberFormat="1" applyAlignment="1"/>
    <xf numFmtId="11" fontId="3" fillId="3" borderId="1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" fillId="0" borderId="0" xfId="0" applyFont="1"/>
    <xf numFmtId="0" fontId="89" fillId="0" borderId="0" xfId="0" applyFont="1"/>
    <xf numFmtId="177" fontId="3" fillId="7" borderId="1" xfId="0" applyNumberFormat="1" applyFont="1" applyFill="1" applyBorder="1"/>
    <xf numFmtId="0" fontId="3" fillId="7" borderId="1" xfId="0" applyFont="1" applyFill="1" applyBorder="1"/>
    <xf numFmtId="0" fontId="3" fillId="4" borderId="5" xfId="0" applyFont="1" applyFill="1" applyBorder="1"/>
    <xf numFmtId="0" fontId="3" fillId="4" borderId="7" xfId="0" applyFont="1" applyFill="1" applyBorder="1"/>
    <xf numFmtId="0" fontId="3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126" fillId="9" borderId="0" xfId="0" applyFont="1" applyFill="1" applyBorder="1" applyAlignment="1">
      <alignment horizontal="center"/>
    </xf>
    <xf numFmtId="0" fontId="126" fillId="9" borderId="0" xfId="0" applyFont="1" applyFill="1" applyBorder="1" applyAlignment="1"/>
    <xf numFmtId="0" fontId="0" fillId="6" borderId="5" xfId="0" applyFill="1" applyBorder="1"/>
    <xf numFmtId="0" fontId="8" fillId="0" borderId="0" xfId="0" applyFont="1" applyBorder="1" applyAlignment="1">
      <alignment horizontal="left"/>
    </xf>
    <xf numFmtId="0" fontId="151" fillId="4" borderId="5" xfId="0" applyFont="1" applyFill="1" applyBorder="1" applyAlignment="1">
      <alignment horizontal="center"/>
    </xf>
    <xf numFmtId="0" fontId="152" fillId="4" borderId="7" xfId="0" applyFont="1" applyFill="1" applyBorder="1"/>
    <xf numFmtId="0" fontId="151" fillId="4" borderId="10" xfId="0" applyFont="1" applyFill="1" applyBorder="1" applyAlignment="1">
      <alignment horizontal="center"/>
    </xf>
    <xf numFmtId="0" fontId="153" fillId="4" borderId="12" xfId="0" applyFont="1" applyFill="1" applyBorder="1"/>
    <xf numFmtId="0" fontId="0" fillId="6" borderId="10" xfId="0" applyFill="1" applyBorder="1"/>
    <xf numFmtId="0" fontId="3" fillId="2" borderId="1" xfId="0" applyFont="1" applyFill="1" applyBorder="1"/>
    <xf numFmtId="11" fontId="3" fillId="2" borderId="1" xfId="0" applyNumberFormat="1" applyFont="1" applyFill="1" applyBorder="1"/>
    <xf numFmtId="0" fontId="3" fillId="0" borderId="0" xfId="0" applyFont="1" applyBorder="1" applyAlignment="1">
      <alignment horizontal="right" vertical="top"/>
    </xf>
    <xf numFmtId="0" fontId="109" fillId="9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1" fillId="9" borderId="6" xfId="0" applyFont="1" applyFill="1" applyBorder="1" applyAlignment="1" applyProtection="1">
      <alignment horizontal="right"/>
    </xf>
    <xf numFmtId="0" fontId="3" fillId="6" borderId="5" xfId="0" applyFont="1" applyFill="1" applyBorder="1" applyAlignment="1">
      <alignment vertical="top"/>
    </xf>
    <xf numFmtId="0" fontId="3" fillId="6" borderId="7" xfId="0" applyFont="1" applyFill="1" applyBorder="1" applyAlignment="1">
      <alignment vertical="top"/>
    </xf>
    <xf numFmtId="0" fontId="2" fillId="0" borderId="9" xfId="0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11" fontId="3" fillId="8" borderId="1" xfId="0" applyNumberFormat="1" applyFont="1" applyFill="1" applyBorder="1"/>
    <xf numFmtId="0" fontId="3" fillId="8" borderId="1" xfId="0" applyFont="1" applyFill="1" applyBorder="1"/>
    <xf numFmtId="176" fontId="3" fillId="8" borderId="1" xfId="0" applyNumberFormat="1" applyFont="1" applyFill="1" applyBorder="1"/>
    <xf numFmtId="11" fontId="8" fillId="9" borderId="0" xfId="0" applyNumberFormat="1" applyFont="1" applyFill="1" applyBorder="1" applyAlignment="1" applyProtection="1">
      <alignment vertical="center"/>
    </xf>
    <xf numFmtId="0" fontId="5" fillId="9" borderId="0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right" vertical="center"/>
    </xf>
    <xf numFmtId="0" fontId="3" fillId="6" borderId="33" xfId="0" applyFont="1" applyFill="1" applyBorder="1"/>
    <xf numFmtId="0" fontId="3" fillId="6" borderId="8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0" fillId="4" borderId="5" xfId="0" applyFill="1" applyBorder="1"/>
    <xf numFmtId="0" fontId="3" fillId="4" borderId="6" xfId="0" applyFont="1" applyFill="1" applyBorder="1"/>
    <xf numFmtId="0" fontId="0" fillId="4" borderId="10" xfId="0" applyFill="1" applyBorder="1"/>
    <xf numFmtId="0" fontId="3" fillId="4" borderId="1" xfId="0" applyFont="1" applyFill="1" applyBorder="1"/>
    <xf numFmtId="0" fontId="3" fillId="4" borderId="33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11" fontId="3" fillId="2" borderId="1" xfId="0" applyNumberFormat="1" applyFont="1" applyFill="1" applyBorder="1" applyAlignment="1">
      <alignment vertical="center"/>
    </xf>
    <xf numFmtId="0" fontId="0" fillId="6" borderId="29" xfId="0" applyFill="1" applyBorder="1" applyAlignment="1">
      <alignment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vertical="center"/>
    </xf>
    <xf numFmtId="0" fontId="54" fillId="9" borderId="0" xfId="0" applyFont="1" applyFill="1" applyBorder="1"/>
    <xf numFmtId="0" fontId="141" fillId="9" borderId="0" xfId="0" applyFont="1" applyFill="1" applyBorder="1" applyAlignment="1">
      <alignment horizontal="left"/>
    </xf>
    <xf numFmtId="11" fontId="3" fillId="9" borderId="0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right"/>
    </xf>
    <xf numFmtId="0" fontId="12" fillId="9" borderId="0" xfId="0" applyFont="1" applyFill="1" applyBorder="1" applyAlignment="1"/>
    <xf numFmtId="0" fontId="3" fillId="9" borderId="0" xfId="0" applyFont="1" applyFill="1"/>
    <xf numFmtId="49" fontId="3" fillId="9" borderId="0" xfId="0" applyNumberFormat="1" applyFont="1" applyFill="1" applyBorder="1" applyAlignment="1">
      <alignment horizontal="right"/>
    </xf>
    <xf numFmtId="0" fontId="2" fillId="9" borderId="12" xfId="0" applyFont="1" applyFill="1" applyBorder="1" applyAlignment="1">
      <alignment horizontal="right"/>
    </xf>
    <xf numFmtId="0" fontId="94" fillId="9" borderId="0" xfId="0" applyFont="1" applyFill="1" applyBorder="1" applyAlignment="1">
      <alignment vertical="top"/>
    </xf>
    <xf numFmtId="0" fontId="2" fillId="9" borderId="9" xfId="0" applyFont="1" applyFill="1" applyBorder="1" applyAlignment="1">
      <alignment horizontal="right" vertical="center"/>
    </xf>
    <xf numFmtId="0" fontId="117" fillId="9" borderId="0" xfId="0" applyFont="1" applyFill="1" applyBorder="1" applyAlignment="1">
      <alignment horizontal="right"/>
    </xf>
    <xf numFmtId="0" fontId="141" fillId="9" borderId="0" xfId="0" applyFont="1" applyFill="1" applyBorder="1" applyAlignment="1">
      <alignment horizontal="center" vertical="top"/>
    </xf>
    <xf numFmtId="0" fontId="117" fillId="9" borderId="0" xfId="0" applyFont="1" applyFill="1" applyBorder="1"/>
    <xf numFmtId="0" fontId="144" fillId="9" borderId="0" xfId="0" applyFont="1" applyFill="1" applyBorder="1" applyAlignment="1">
      <alignment horizontal="center"/>
    </xf>
    <xf numFmtId="0" fontId="143" fillId="9" borderId="0" xfId="0" applyFont="1" applyFill="1" applyBorder="1"/>
    <xf numFmtId="0" fontId="149" fillId="9" borderId="0" xfId="1" applyFont="1" applyFill="1" applyBorder="1" applyAlignment="1" applyProtection="1">
      <alignment horizontal="center"/>
    </xf>
    <xf numFmtId="0" fontId="2" fillId="9" borderId="8" xfId="0" applyFont="1" applyFill="1" applyBorder="1"/>
    <xf numFmtId="0" fontId="89" fillId="9" borderId="0" xfId="0" applyFont="1" applyFill="1" applyBorder="1"/>
    <xf numFmtId="0" fontId="2" fillId="9" borderId="9" xfId="0" applyFont="1" applyFill="1" applyBorder="1"/>
    <xf numFmtId="0" fontId="126" fillId="9" borderId="0" xfId="0" applyFont="1" applyFill="1" applyBorder="1"/>
    <xf numFmtId="0" fontId="155" fillId="9" borderId="0" xfId="1" applyFont="1" applyFill="1" applyBorder="1" applyAlignment="1" applyProtection="1">
      <alignment horizontal="center"/>
    </xf>
    <xf numFmtId="0" fontId="50" fillId="9" borderId="6" xfId="0" applyFont="1" applyFill="1" applyBorder="1" applyAlignment="1">
      <alignment horizontal="center"/>
    </xf>
    <xf numFmtId="0" fontId="149" fillId="9" borderId="11" xfId="1" applyFont="1" applyFill="1" applyBorder="1" applyAlignment="1" applyProtection="1">
      <alignment horizontal="center" vertical="top"/>
    </xf>
    <xf numFmtId="0" fontId="29" fillId="9" borderId="0" xfId="0" applyFont="1" applyFill="1" applyBorder="1" applyAlignment="1">
      <alignment horizontal="left" vertical="top"/>
    </xf>
    <xf numFmtId="0" fontId="3" fillId="9" borderId="0" xfId="0" applyFont="1" applyFill="1" applyBorder="1" applyAlignment="1" applyProtection="1">
      <alignment horizontal="center" vertical="center"/>
    </xf>
    <xf numFmtId="165" fontId="3" fillId="9" borderId="0" xfId="0" applyNumberFormat="1" applyFont="1" applyFill="1" applyBorder="1"/>
    <xf numFmtId="0" fontId="9" fillId="4" borderId="29" xfId="0" applyFont="1" applyFill="1" applyBorder="1" applyAlignment="1">
      <alignment vertical="top"/>
    </xf>
    <xf numFmtId="0" fontId="3" fillId="4" borderId="33" xfId="0" applyFont="1" applyFill="1" applyBorder="1" applyAlignment="1" applyProtection="1">
      <alignment horizontal="center" vertical="center"/>
    </xf>
    <xf numFmtId="0" fontId="9" fillId="4" borderId="29" xfId="0" applyFont="1" applyFill="1" applyBorder="1"/>
    <xf numFmtId="0" fontId="3" fillId="4" borderId="33" xfId="0" applyFont="1" applyFill="1" applyBorder="1"/>
    <xf numFmtId="0" fontId="156" fillId="9" borderId="0" xfId="0" applyFont="1" applyFill="1" applyBorder="1" applyAlignment="1">
      <alignment vertical="center"/>
    </xf>
    <xf numFmtId="2" fontId="29" fillId="5" borderId="1" xfId="0" applyNumberFormat="1" applyFont="1" applyFill="1" applyBorder="1" applyAlignment="1" applyProtection="1">
      <alignment vertical="center"/>
      <protection locked="0"/>
    </xf>
    <xf numFmtId="11" fontId="3" fillId="7" borderId="1" xfId="0" applyNumberFormat="1" applyFont="1" applyFill="1" applyBorder="1" applyAlignment="1">
      <alignment horizontal="center"/>
    </xf>
    <xf numFmtId="0" fontId="21" fillId="9" borderId="0" xfId="0" applyFont="1" applyFill="1" applyBorder="1" applyAlignment="1">
      <alignment vertical="top"/>
    </xf>
    <xf numFmtId="0" fontId="0" fillId="9" borderId="0" xfId="0" applyFill="1" applyBorder="1" applyAlignment="1">
      <alignment horizontal="center" vertical="top"/>
    </xf>
    <xf numFmtId="11" fontId="8" fillId="0" borderId="0" xfId="0" applyNumberFormat="1" applyFont="1"/>
    <xf numFmtId="1" fontId="8" fillId="0" borderId="0" xfId="0" applyNumberFormat="1" applyFont="1"/>
    <xf numFmtId="11" fontId="8" fillId="10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>
      <alignment horizontal="right" vertical="top"/>
    </xf>
    <xf numFmtId="0" fontId="61" fillId="9" borderId="8" xfId="0" applyFont="1" applyFill="1" applyBorder="1"/>
    <xf numFmtId="0" fontId="61" fillId="9" borderId="9" xfId="0" applyFont="1" applyFill="1" applyBorder="1" applyAlignment="1">
      <alignment horizontal="right"/>
    </xf>
    <xf numFmtId="0" fontId="20" fillId="9" borderId="15" xfId="0" applyFont="1" applyFill="1" applyBorder="1" applyAlignment="1">
      <alignment horizontal="left"/>
    </xf>
    <xf numFmtId="0" fontId="20" fillId="9" borderId="31" xfId="0" applyFont="1" applyFill="1" applyBorder="1" applyAlignment="1">
      <alignment horizontal="right"/>
    </xf>
    <xf numFmtId="0" fontId="30" fillId="9" borderId="0" xfId="0" applyFont="1" applyFill="1" applyBorder="1" applyAlignment="1">
      <alignment vertical="center"/>
    </xf>
    <xf numFmtId="0" fontId="30" fillId="9" borderId="0" xfId="0" applyFont="1" applyFill="1" applyBorder="1" applyAlignment="1">
      <alignment vertical="top"/>
    </xf>
    <xf numFmtId="0" fontId="14" fillId="9" borderId="0" xfId="0" applyFont="1" applyFill="1" applyBorder="1" applyAlignment="1"/>
    <xf numFmtId="0" fontId="14" fillId="0" borderId="0" xfId="0" applyFont="1" applyBorder="1" applyAlignment="1"/>
    <xf numFmtId="0" fontId="39" fillId="9" borderId="0" xfId="0" applyFont="1" applyFill="1" applyBorder="1" applyAlignment="1">
      <alignment horizontal="right"/>
    </xf>
    <xf numFmtId="0" fontId="39" fillId="9" borderId="0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0" fontId="31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right"/>
    </xf>
    <xf numFmtId="2" fontId="3" fillId="0" borderId="0" xfId="0" applyNumberFormat="1" applyFont="1" applyFill="1"/>
    <xf numFmtId="0" fontId="0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horizontal="left" vertical="top"/>
    </xf>
    <xf numFmtId="11" fontId="95" fillId="0" borderId="0" xfId="0" applyNumberFormat="1" applyFont="1" applyFill="1" applyBorder="1" applyAlignment="1" applyProtection="1">
      <alignment horizontal="center"/>
    </xf>
    <xf numFmtId="174" fontId="3" fillId="9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7" fillId="0" borderId="0" xfId="0" applyFont="1"/>
    <xf numFmtId="164" fontId="8" fillId="5" borderId="1" xfId="0" applyNumberFormat="1" applyFont="1" applyFill="1" applyBorder="1" applyProtection="1">
      <protection locked="0"/>
    </xf>
    <xf numFmtId="0" fontId="57" fillId="9" borderId="0" xfId="0" applyFont="1" applyFill="1" applyBorder="1" applyAlignment="1">
      <alignment horizontal="center" vertical="center"/>
    </xf>
    <xf numFmtId="0" fontId="95" fillId="9" borderId="0" xfId="0" applyFont="1" applyFill="1" applyBorder="1" applyAlignment="1">
      <alignment horizontal="center"/>
    </xf>
    <xf numFmtId="0" fontId="1" fillId="9" borderId="8" xfId="0" applyFont="1" applyFill="1" applyBorder="1"/>
    <xf numFmtId="2" fontId="3" fillId="9" borderId="0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9" fillId="0" borderId="0" xfId="0" applyFont="1" applyFill="1" applyBorder="1" applyAlignment="1">
      <alignment horizontal="center"/>
    </xf>
    <xf numFmtId="0" fontId="29" fillId="0" borderId="0" xfId="0" applyFont="1" applyBorder="1"/>
    <xf numFmtId="174" fontId="117" fillId="9" borderId="0" xfId="0" applyNumberFormat="1" applyFont="1" applyFill="1" applyBorder="1" applyAlignment="1">
      <alignment horizontal="right"/>
    </xf>
    <xf numFmtId="0" fontId="36" fillId="9" borderId="11" xfId="0" applyFont="1" applyFill="1" applyBorder="1" applyAlignment="1">
      <alignment horizontal="left" vertical="top"/>
    </xf>
    <xf numFmtId="0" fontId="67" fillId="9" borderId="0" xfId="0" applyFont="1" applyFill="1" applyBorder="1" applyAlignment="1">
      <alignment horizontal="right"/>
    </xf>
    <xf numFmtId="0" fontId="102" fillId="9" borderId="0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0" fontId="2" fillId="9" borderId="0" xfId="0" applyFont="1" applyFill="1" applyBorder="1" applyAlignment="1">
      <alignment horizontal="right"/>
    </xf>
    <xf numFmtId="165" fontId="3" fillId="9" borderId="0" xfId="0" applyNumberFormat="1" applyFont="1" applyFill="1" applyBorder="1" applyAlignment="1">
      <alignment horizontal="center"/>
    </xf>
    <xf numFmtId="0" fontId="37" fillId="0" borderId="0" xfId="1" applyBorder="1" applyAlignment="1" applyProtection="1">
      <alignment horizontal="center"/>
    </xf>
    <xf numFmtId="0" fontId="129" fillId="0" borderId="0" xfId="0" applyFont="1" applyBorder="1" applyAlignment="1">
      <alignment horizontal="center"/>
    </xf>
    <xf numFmtId="0" fontId="0" fillId="9" borderId="9" xfId="0" applyFont="1" applyFill="1" applyBorder="1" applyAlignment="1" applyProtection="1">
      <alignment horizontal="right"/>
    </xf>
    <xf numFmtId="0" fontId="158" fillId="0" borderId="0" xfId="0" applyFont="1"/>
    <xf numFmtId="0" fontId="49" fillId="9" borderId="0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vertical="center"/>
    </xf>
    <xf numFmtId="0" fontId="3" fillId="9" borderId="11" xfId="0" applyFont="1" applyFill="1" applyBorder="1" applyAlignment="1">
      <alignment vertical="top"/>
    </xf>
    <xf numFmtId="0" fontId="50" fillId="9" borderId="0" xfId="0" applyFont="1" applyFill="1" applyBorder="1" applyAlignment="1">
      <alignment horizontal="center" vertical="center"/>
    </xf>
    <xf numFmtId="0" fontId="129" fillId="9" borderId="0" xfId="0" applyFont="1" applyFill="1" applyBorder="1" applyAlignment="1">
      <alignment horizontal="center"/>
    </xf>
    <xf numFmtId="0" fontId="21" fillId="9" borderId="11" xfId="0" applyFont="1" applyFill="1" applyBorder="1" applyAlignment="1" applyProtection="1">
      <alignment horizontal="left" vertical="top"/>
    </xf>
    <xf numFmtId="0" fontId="12" fillId="9" borderId="0" xfId="0" applyFont="1" applyFill="1" applyBorder="1" applyAlignment="1" applyProtection="1">
      <alignment horizontal="right" vertical="top"/>
    </xf>
    <xf numFmtId="0" fontId="0" fillId="0" borderId="0" xfId="0" applyBorder="1" applyAlignment="1">
      <alignment horizontal="right" vertical="top"/>
    </xf>
    <xf numFmtId="49" fontId="3" fillId="9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172" fontId="3" fillId="9" borderId="0" xfId="0" applyNumberFormat="1" applyFont="1" applyFill="1" applyBorder="1" applyAlignment="1" applyProtection="1"/>
    <xf numFmtId="0" fontId="3" fillId="9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3" fillId="9" borderId="6" xfId="0" applyFont="1" applyFill="1" applyBorder="1" applyAlignment="1">
      <alignment horizontal="right" vertical="center"/>
    </xf>
    <xf numFmtId="0" fontId="6" fillId="9" borderId="5" xfId="0" applyFont="1" applyFill="1" applyBorder="1" applyAlignment="1">
      <alignment horizontal="center"/>
    </xf>
    <xf numFmtId="49" fontId="6" fillId="9" borderId="2" xfId="0" applyNumberFormat="1" applyFont="1" applyFill="1" applyBorder="1" applyAlignment="1">
      <alignment horizontal="center"/>
    </xf>
    <xf numFmtId="0" fontId="6" fillId="9" borderId="10" xfId="0" applyNumberFormat="1" applyFont="1" applyFill="1" applyBorder="1" applyAlignment="1">
      <alignment horizontal="center"/>
    </xf>
    <xf numFmtId="49" fontId="6" fillId="9" borderId="3" xfId="0" applyNumberFormat="1" applyFont="1" applyFill="1" applyBorder="1" applyAlignment="1">
      <alignment horizontal="center"/>
    </xf>
    <xf numFmtId="0" fontId="120" fillId="9" borderId="2" xfId="0" applyFont="1" applyFill="1" applyBorder="1" applyAlignment="1">
      <alignment horizontal="right"/>
    </xf>
    <xf numFmtId="0" fontId="67" fillId="9" borderId="4" xfId="0" applyFont="1" applyFill="1" applyBorder="1" applyAlignment="1">
      <alignment horizontal="right"/>
    </xf>
    <xf numFmtId="0" fontId="164" fillId="9" borderId="4" xfId="0" applyFont="1" applyFill="1" applyBorder="1" applyAlignment="1">
      <alignment horizontal="right"/>
    </xf>
    <xf numFmtId="0" fontId="6" fillId="9" borderId="3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9" fillId="9" borderId="6" xfId="0" applyFont="1" applyFill="1" applyBorder="1" applyAlignment="1">
      <alignment vertical="center"/>
    </xf>
    <xf numFmtId="0" fontId="36" fillId="9" borderId="5" xfId="0" applyFont="1" applyFill="1" applyBorder="1" applyAlignment="1">
      <alignment horizontal="right" vertical="center"/>
    </xf>
    <xf numFmtId="0" fontId="90" fillId="9" borderId="6" xfId="0" applyFont="1" applyFill="1" applyBorder="1" applyAlignment="1">
      <alignment horizontal="left" vertical="center"/>
    </xf>
    <xf numFmtId="0" fontId="166" fillId="9" borderId="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9" borderId="11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176" fontId="3" fillId="9" borderId="11" xfId="0" applyNumberFormat="1" applyFont="1" applyFill="1" applyBorder="1"/>
    <xf numFmtId="0" fontId="36" fillId="9" borderId="11" xfId="0" applyFont="1" applyFill="1" applyBorder="1" applyAlignment="1">
      <alignment horizontal="right"/>
    </xf>
    <xf numFmtId="0" fontId="36" fillId="9" borderId="12" xfId="0" applyFont="1" applyFill="1" applyBorder="1" applyAlignment="1">
      <alignment horizontal="right"/>
    </xf>
    <xf numFmtId="0" fontId="31" fillId="9" borderId="0" xfId="0" applyFont="1" applyFill="1" applyBorder="1" applyAlignment="1">
      <alignment horizontal="center" vertical="top"/>
    </xf>
    <xf numFmtId="0" fontId="136" fillId="0" borderId="0" xfId="0" applyFont="1" applyProtection="1">
      <protection locked="0"/>
    </xf>
    <xf numFmtId="0" fontId="9" fillId="0" borderId="0" xfId="0" applyFont="1" applyFill="1" applyAlignment="1">
      <alignment horizontal="center"/>
    </xf>
    <xf numFmtId="0" fontId="136" fillId="0" borderId="0" xfId="0" applyFont="1" applyFill="1" applyProtection="1">
      <protection locked="0"/>
    </xf>
    <xf numFmtId="165" fontId="29" fillId="7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20" fillId="9" borderId="0" xfId="0" applyNumberFormat="1" applyFont="1" applyFill="1" applyBorder="1" applyAlignment="1">
      <alignment horizontal="center"/>
    </xf>
    <xf numFmtId="0" fontId="36" fillId="9" borderId="11" xfId="0" applyFont="1" applyFill="1" applyBorder="1" applyAlignment="1">
      <alignment horizontal="right" vertical="top"/>
    </xf>
    <xf numFmtId="0" fontId="29" fillId="9" borderId="11" xfId="0" applyFont="1" applyFill="1" applyBorder="1" applyAlignment="1">
      <alignment horizontal="left" vertical="top"/>
    </xf>
    <xf numFmtId="174" fontId="27" fillId="3" borderId="2" xfId="0" applyNumberFormat="1" applyFont="1" applyFill="1" applyBorder="1" applyAlignment="1">
      <alignment vertical="center"/>
    </xf>
    <xf numFmtId="0" fontId="29" fillId="9" borderId="11" xfId="0" applyFont="1" applyFill="1" applyBorder="1" applyAlignment="1">
      <alignment horizontal="right"/>
    </xf>
    <xf numFmtId="174" fontId="27" fillId="9" borderId="30" xfId="0" applyNumberFormat="1" applyFont="1" applyFill="1" applyBorder="1" applyAlignment="1">
      <alignment vertical="center"/>
    </xf>
    <xf numFmtId="177" fontId="6" fillId="9" borderId="11" xfId="0" applyNumberFormat="1" applyFont="1" applyFill="1" applyBorder="1" applyAlignment="1">
      <alignment horizontal="right" vertical="center"/>
    </xf>
    <xf numFmtId="0" fontId="21" fillId="0" borderId="0" xfId="0" applyFont="1" applyBorder="1"/>
    <xf numFmtId="0" fontId="0" fillId="6" borderId="1" xfId="0" applyFill="1" applyBorder="1" applyAlignment="1">
      <alignment horizontal="right"/>
    </xf>
    <xf numFmtId="172" fontId="3" fillId="10" borderId="1" xfId="0" applyNumberFormat="1" applyFont="1" applyFill="1" applyBorder="1" applyAlignment="1" applyProtection="1">
      <alignment vertical="center"/>
      <protection hidden="1"/>
    </xf>
    <xf numFmtId="0" fontId="27" fillId="9" borderId="8" xfId="0" applyFont="1" applyFill="1" applyBorder="1" applyAlignment="1">
      <alignment vertical="center"/>
    </xf>
    <xf numFmtId="0" fontId="2" fillId="9" borderId="4" xfId="0" applyFont="1" applyFill="1" applyBorder="1" applyAlignment="1">
      <alignment horizontal="center"/>
    </xf>
    <xf numFmtId="0" fontId="3" fillId="6" borderId="29" xfId="0" applyFont="1" applyFill="1" applyBorder="1"/>
    <xf numFmtId="0" fontId="16" fillId="9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5" fillId="9" borderId="0" xfId="0" applyFont="1" applyFill="1" applyBorder="1" applyAlignment="1" applyProtection="1">
      <alignment horizontal="right" vertical="top"/>
    </xf>
    <xf numFmtId="0" fontId="0" fillId="9" borderId="0" xfId="0" applyFont="1" applyFill="1" applyBorder="1" applyAlignment="1" applyProtection="1">
      <alignment vertical="top"/>
    </xf>
    <xf numFmtId="0" fontId="5" fillId="9" borderId="0" xfId="0" applyFont="1" applyFill="1" applyBorder="1" applyAlignment="1" applyProtection="1">
      <alignment horizontal="left" vertical="top"/>
    </xf>
    <xf numFmtId="0" fontId="0" fillId="9" borderId="0" xfId="0" applyFill="1" applyBorder="1" applyAlignment="1" applyProtection="1">
      <alignment vertical="top"/>
    </xf>
    <xf numFmtId="0" fontId="0" fillId="9" borderId="9" xfId="0" applyFill="1" applyBorder="1" applyAlignment="1" applyProtection="1">
      <alignment vertical="top"/>
    </xf>
    <xf numFmtId="0" fontId="14" fillId="0" borderId="0" xfId="0" applyFont="1" applyProtection="1">
      <protection locked="0"/>
    </xf>
    <xf numFmtId="0" fontId="95" fillId="9" borderId="0" xfId="0" applyFont="1" applyFill="1" applyBorder="1" applyAlignment="1" applyProtection="1">
      <alignment horizontal="left"/>
    </xf>
    <xf numFmtId="0" fontId="5" fillId="9" borderId="0" xfId="0" applyFont="1" applyFill="1" applyBorder="1" applyAlignment="1">
      <alignment vertical="top"/>
    </xf>
    <xf numFmtId="0" fontId="5" fillId="9" borderId="9" xfId="0" applyFont="1" applyFill="1" applyBorder="1" applyAlignment="1">
      <alignment vertical="top"/>
    </xf>
    <xf numFmtId="0" fontId="21" fillId="9" borderId="0" xfId="0" applyFont="1" applyFill="1" applyBorder="1" applyAlignment="1" applyProtection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right" vertical="top"/>
    </xf>
    <xf numFmtId="0" fontId="0" fillId="9" borderId="0" xfId="0" applyFont="1" applyFill="1" applyBorder="1" applyAlignment="1">
      <alignment vertical="top"/>
    </xf>
    <xf numFmtId="0" fontId="0" fillId="9" borderId="11" xfId="0" applyFont="1" applyFill="1" applyBorder="1" applyAlignment="1">
      <alignment vertical="top"/>
    </xf>
    <xf numFmtId="0" fontId="21" fillId="9" borderId="11" xfId="0" applyFont="1" applyFill="1" applyBorder="1" applyAlignment="1">
      <alignment horizontal="left" vertical="top"/>
    </xf>
    <xf numFmtId="0" fontId="21" fillId="0" borderId="0" xfId="0" applyFont="1" applyBorder="1" applyAlignment="1">
      <alignment horizontal="left" vertical="center"/>
    </xf>
    <xf numFmtId="0" fontId="155" fillId="0" borderId="0" xfId="1" applyFont="1" applyAlignment="1" applyProtection="1">
      <protection locked="0"/>
    </xf>
    <xf numFmtId="0" fontId="21" fillId="9" borderId="11" xfId="0" applyFont="1" applyFill="1" applyBorder="1" applyAlignment="1">
      <alignment vertical="top"/>
    </xf>
    <xf numFmtId="0" fontId="21" fillId="0" borderId="0" xfId="0" applyFont="1" applyFill="1" applyBorder="1" applyAlignment="1" applyProtection="1">
      <alignment horizontal="left"/>
    </xf>
    <xf numFmtId="0" fontId="20" fillId="9" borderId="0" xfId="0" applyFont="1" applyFill="1" applyBorder="1" applyAlignment="1">
      <alignment vertical="top"/>
    </xf>
    <xf numFmtId="172" fontId="3" fillId="5" borderId="1" xfId="0" applyNumberFormat="1" applyFont="1" applyFill="1" applyBorder="1" applyAlignment="1" applyProtection="1">
      <alignment vertical="center"/>
      <protection locked="0"/>
    </xf>
    <xf numFmtId="0" fontId="172" fillId="0" borderId="0" xfId="0" applyFont="1" applyFill="1" applyBorder="1" applyAlignment="1" applyProtection="1">
      <alignment horizontal="center"/>
    </xf>
    <xf numFmtId="0" fontId="172" fillId="0" borderId="0" xfId="0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Protection="1"/>
    <xf numFmtId="172" fontId="0" fillId="0" borderId="0" xfId="0" applyNumberFormat="1"/>
    <xf numFmtId="0" fontId="159" fillId="9" borderId="0" xfId="0" applyFont="1" applyFill="1" applyBorder="1" applyAlignment="1">
      <alignment horizontal="center"/>
    </xf>
    <xf numFmtId="0" fontId="145" fillId="0" borderId="0" xfId="0" applyFont="1" applyProtection="1">
      <protection locked="0"/>
    </xf>
    <xf numFmtId="0" fontId="82" fillId="9" borderId="0" xfId="0" applyFont="1" applyFill="1" applyBorder="1" applyAlignment="1">
      <alignment horizontal="left"/>
    </xf>
    <xf numFmtId="0" fontId="3" fillId="0" borderId="10" xfId="0" applyFont="1" applyFill="1" applyBorder="1"/>
    <xf numFmtId="0" fontId="93" fillId="9" borderId="0" xfId="0" applyFont="1" applyFill="1" applyBorder="1" applyAlignment="1">
      <alignment horizontal="left" vertical="top"/>
    </xf>
    <xf numFmtId="165" fontId="3" fillId="9" borderId="4" xfId="0" applyNumberFormat="1" applyFont="1" applyFill="1" applyBorder="1" applyAlignment="1">
      <alignment horizontal="center"/>
    </xf>
    <xf numFmtId="165" fontId="3" fillId="9" borderId="22" xfId="0" applyNumberFormat="1" applyFont="1" applyFill="1" applyBorder="1" applyAlignment="1">
      <alignment horizontal="center"/>
    </xf>
    <xf numFmtId="165" fontId="0" fillId="0" borderId="0" xfId="0" applyNumberFormat="1"/>
    <xf numFmtId="0" fontId="20" fillId="9" borderId="11" xfId="0" applyFont="1" applyFill="1" applyBorder="1" applyAlignment="1">
      <alignment vertical="top"/>
    </xf>
    <xf numFmtId="0" fontId="37" fillId="0" borderId="0" xfId="1" applyFill="1" applyAlignment="1" applyProtection="1"/>
    <xf numFmtId="176" fontId="0" fillId="0" borderId="0" xfId="0" applyNumberFormat="1" applyFill="1"/>
    <xf numFmtId="176" fontId="25" fillId="0" borderId="0" xfId="0" applyNumberFormat="1" applyFont="1" applyFill="1"/>
    <xf numFmtId="0" fontId="3" fillId="2" borderId="1" xfId="0" applyFont="1" applyFill="1" applyBorder="1" applyAlignment="1">
      <alignment horizontal="right"/>
    </xf>
    <xf numFmtId="0" fontId="126" fillId="9" borderId="8" xfId="0" applyFont="1" applyFill="1" applyBorder="1"/>
    <xf numFmtId="0" fontId="173" fillId="9" borderId="0" xfId="0" applyFont="1" applyFill="1" applyBorder="1" applyAlignment="1"/>
    <xf numFmtId="165" fontId="8" fillId="0" borderId="0" xfId="0" applyNumberFormat="1" applyFont="1" applyFill="1" applyBorder="1" applyAlignment="1" applyProtection="1">
      <alignment horizontal="center"/>
      <protection locked="0"/>
    </xf>
    <xf numFmtId="0" fontId="44" fillId="9" borderId="0" xfId="0" applyFont="1" applyFill="1" applyBorder="1" applyAlignment="1" applyProtection="1">
      <alignment vertical="center"/>
    </xf>
    <xf numFmtId="0" fontId="7" fillId="9" borderId="6" xfId="0" applyFont="1" applyFill="1" applyBorder="1" applyAlignment="1" applyProtection="1">
      <alignment horizontal="center"/>
    </xf>
    <xf numFmtId="0" fontId="51" fillId="9" borderId="0" xfId="0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/>
    </xf>
    <xf numFmtId="0" fontId="129" fillId="9" borderId="0" xfId="0" applyFont="1" applyFill="1" applyBorder="1" applyAlignment="1">
      <alignment horizontal="left"/>
    </xf>
    <xf numFmtId="0" fontId="154" fillId="9" borderId="0" xfId="0" applyFont="1" applyFill="1" applyBorder="1" applyAlignment="1">
      <alignment horizontal="center"/>
    </xf>
    <xf numFmtId="179" fontId="3" fillId="2" borderId="1" xfId="0" applyNumberFormat="1" applyFont="1" applyFill="1" applyBorder="1"/>
    <xf numFmtId="0" fontId="178" fillId="0" borderId="0" xfId="0" applyFont="1"/>
    <xf numFmtId="0" fontId="8" fillId="0" borderId="0" xfId="0" applyFont="1" applyFill="1" applyBorder="1" applyAlignment="1"/>
    <xf numFmtId="0" fontId="8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20" fillId="9" borderId="0" xfId="0" applyFont="1" applyFill="1" applyBorder="1" applyAlignment="1" applyProtection="1">
      <alignment horizontal="left" vertical="top"/>
    </xf>
    <xf numFmtId="0" fontId="14" fillId="9" borderId="0" xfId="0" applyFont="1" applyFill="1" applyBorder="1" applyAlignment="1" applyProtection="1">
      <alignment horizontal="left" vertical="top"/>
    </xf>
    <xf numFmtId="0" fontId="21" fillId="9" borderId="0" xfId="0" applyFont="1" applyFill="1" applyBorder="1" applyAlignment="1">
      <alignment horizontal="left" vertical="top"/>
    </xf>
    <xf numFmtId="0" fontId="166" fillId="9" borderId="0" xfId="0" applyFont="1" applyFill="1" applyBorder="1" applyAlignment="1" applyProtection="1">
      <alignment horizontal="center" vertical="top"/>
    </xf>
    <xf numFmtId="0" fontId="6" fillId="9" borderId="0" xfId="0" applyFont="1" applyFill="1" applyBorder="1" applyAlignment="1" applyProtection="1">
      <alignment horizontal="right"/>
    </xf>
    <xf numFmtId="0" fontId="1" fillId="6" borderId="2" xfId="0" applyFont="1" applyFill="1" applyBorder="1" applyProtection="1"/>
    <xf numFmtId="0" fontId="9" fillId="6" borderId="3" xfId="0" applyFont="1" applyFill="1" applyBorder="1" applyAlignment="1" applyProtection="1">
      <alignment horizontal="right"/>
    </xf>
    <xf numFmtId="0" fontId="5" fillId="6" borderId="3" xfId="0" applyFont="1" applyFill="1" applyBorder="1" applyAlignment="1" applyProtection="1">
      <alignment horizontal="center"/>
    </xf>
    <xf numFmtId="0" fontId="38" fillId="6" borderId="1" xfId="1" applyFont="1" applyFill="1" applyBorder="1" applyAlignment="1" applyProtection="1">
      <alignment horizontal="center"/>
    </xf>
    <xf numFmtId="0" fontId="9" fillId="6" borderId="3" xfId="0" applyFont="1" applyFill="1" applyBorder="1" applyProtection="1"/>
    <xf numFmtId="0" fontId="5" fillId="6" borderId="2" xfId="0" applyFont="1" applyFill="1" applyBorder="1" applyAlignment="1" applyProtection="1">
      <alignment horizontal="center"/>
    </xf>
    <xf numFmtId="0" fontId="0" fillId="6" borderId="4" xfId="0" applyFill="1" applyBorder="1" applyProtection="1"/>
    <xf numFmtId="0" fontId="114" fillId="6" borderId="2" xfId="0" applyFont="1" applyFill="1" applyBorder="1" applyProtection="1"/>
    <xf numFmtId="0" fontId="113" fillId="6" borderId="4" xfId="0" applyFont="1" applyFill="1" applyBorder="1" applyProtection="1"/>
    <xf numFmtId="0" fontId="3" fillId="6" borderId="1" xfId="0" applyFont="1" applyFill="1" applyBorder="1" applyAlignment="1" applyProtection="1">
      <alignment horizontal="center" vertical="top"/>
    </xf>
    <xf numFmtId="0" fontId="34" fillId="6" borderId="1" xfId="0" applyFont="1" applyFill="1" applyBorder="1" applyAlignment="1" applyProtection="1"/>
    <xf numFmtId="0" fontId="94" fillId="10" borderId="2" xfId="0" applyFont="1" applyFill="1" applyBorder="1" applyAlignment="1" applyProtection="1">
      <alignment horizontal="center"/>
    </xf>
    <xf numFmtId="0" fontId="94" fillId="10" borderId="3" xfId="0" applyFont="1" applyFill="1" applyBorder="1" applyAlignment="1" applyProtection="1">
      <alignment horizontal="center"/>
    </xf>
    <xf numFmtId="0" fontId="3" fillId="6" borderId="1" xfId="0" applyFont="1" applyFill="1" applyBorder="1" applyProtection="1"/>
    <xf numFmtId="0" fontId="5" fillId="10" borderId="2" xfId="0" applyFont="1" applyFill="1" applyBorder="1" applyAlignment="1" applyProtection="1">
      <alignment horizontal="center"/>
    </xf>
    <xf numFmtId="0" fontId="0" fillId="10" borderId="3" xfId="0" applyFill="1" applyBorder="1" applyProtection="1"/>
    <xf numFmtId="0" fontId="0" fillId="6" borderId="4" xfId="0" applyFill="1" applyBorder="1" applyAlignment="1" applyProtection="1">
      <alignment horizontal="center"/>
    </xf>
    <xf numFmtId="0" fontId="3" fillId="10" borderId="1" xfId="0" applyFont="1" applyFill="1" applyBorder="1" applyAlignment="1" applyProtection="1">
      <alignment horizontal="center"/>
    </xf>
    <xf numFmtId="0" fontId="49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49" fillId="6" borderId="4" xfId="0" applyFont="1" applyFill="1" applyBorder="1" applyAlignment="1" applyProtection="1">
      <alignment horizontal="center"/>
    </xf>
    <xf numFmtId="0" fontId="114" fillId="6" borderId="4" xfId="0" applyFont="1" applyFill="1" applyBorder="1" applyProtection="1"/>
    <xf numFmtId="0" fontId="114" fillId="6" borderId="3" xfId="0" applyFont="1" applyFill="1" applyBorder="1" applyProtection="1"/>
    <xf numFmtId="0" fontId="9" fillId="6" borderId="4" xfId="0" applyFont="1" applyFill="1" applyBorder="1" applyProtection="1"/>
    <xf numFmtId="0" fontId="9" fillId="6" borderId="1" xfId="0" applyFont="1" applyFill="1" applyBorder="1" applyAlignment="1" applyProtection="1">
      <alignment horizontal="left"/>
    </xf>
    <xf numFmtId="0" fontId="0" fillId="9" borderId="12" xfId="0" applyFill="1" applyBorder="1" applyProtection="1"/>
    <xf numFmtId="0" fontId="0" fillId="9" borderId="12" xfId="0" applyFill="1" applyBorder="1" applyAlignment="1" applyProtection="1">
      <alignment vertical="top"/>
    </xf>
    <xf numFmtId="2" fontId="3" fillId="9" borderId="0" xfId="0" applyNumberFormat="1" applyFont="1" applyFill="1" applyBorder="1" applyAlignment="1" applyProtection="1">
      <alignment horizontal="center"/>
      <protection locked="0"/>
    </xf>
    <xf numFmtId="0" fontId="54" fillId="9" borderId="0" xfId="0" applyFont="1" applyFill="1" applyBorder="1" applyAlignment="1">
      <alignment horizontal="center" vertical="top"/>
    </xf>
    <xf numFmtId="0" fontId="5" fillId="6" borderId="3" xfId="0" applyFont="1" applyFill="1" applyBorder="1" applyAlignment="1" applyProtection="1">
      <alignment horizontal="center" wrapText="1"/>
    </xf>
    <xf numFmtId="0" fontId="156" fillId="0" borderId="0" xfId="0" applyFont="1"/>
    <xf numFmtId="0" fontId="9" fillId="9" borderId="11" xfId="0" applyFont="1" applyFill="1" applyBorder="1" applyAlignment="1">
      <alignment horizontal="center" vertical="top"/>
    </xf>
    <xf numFmtId="0" fontId="120" fillId="9" borderId="0" xfId="0" applyFont="1" applyFill="1" applyBorder="1" applyAlignment="1">
      <alignment horizontal="center"/>
    </xf>
    <xf numFmtId="0" fontId="49" fillId="9" borderId="6" xfId="0" applyFont="1" applyFill="1" applyBorder="1"/>
    <xf numFmtId="0" fontId="76" fillId="9" borderId="0" xfId="0" applyFont="1" applyFill="1" applyBorder="1" applyAlignment="1">
      <alignment horizontal="center" vertical="center"/>
    </xf>
    <xf numFmtId="0" fontId="14" fillId="9" borderId="11" xfId="0" applyFont="1" applyFill="1" applyBorder="1" applyAlignment="1" applyProtection="1">
      <alignment horizontal="center"/>
    </xf>
    <xf numFmtId="0" fontId="126" fillId="0" borderId="0" xfId="0" applyFont="1"/>
    <xf numFmtId="0" fontId="0" fillId="9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9" borderId="10" xfId="0" applyFont="1" applyFill="1" applyBorder="1" applyAlignment="1">
      <alignment vertical="top"/>
    </xf>
    <xf numFmtId="0" fontId="3" fillId="9" borderId="12" xfId="0" applyFont="1" applyFill="1" applyBorder="1" applyAlignment="1">
      <alignment vertical="top"/>
    </xf>
    <xf numFmtId="0" fontId="148" fillId="0" borderId="0" xfId="1" applyFont="1" applyAlignment="1" applyProtection="1"/>
    <xf numFmtId="0" fontId="134" fillId="0" borderId="0" xfId="0" applyFont="1"/>
    <xf numFmtId="0" fontId="146" fillId="0" borderId="0" xfId="0" applyFont="1" applyAlignment="1">
      <alignment vertical="center"/>
    </xf>
    <xf numFmtId="0" fontId="183" fillId="0" borderId="0" xfId="1" applyFont="1" applyAlignment="1" applyProtection="1"/>
    <xf numFmtId="0" fontId="5" fillId="9" borderId="0" xfId="0" applyFont="1" applyFill="1" applyAlignment="1">
      <alignment horizontal="left"/>
    </xf>
    <xf numFmtId="0" fontId="146" fillId="9" borderId="0" xfId="0" applyFont="1" applyFill="1" applyBorder="1"/>
    <xf numFmtId="0" fontId="146" fillId="9" borderId="6" xfId="0" applyFont="1" applyFill="1" applyBorder="1" applyAlignment="1"/>
    <xf numFmtId="0" fontId="146" fillId="9" borderId="0" xfId="0" applyFont="1" applyFill="1" applyBorder="1" applyAlignment="1">
      <alignment vertical="top"/>
    </xf>
    <xf numFmtId="0" fontId="182" fillId="0" borderId="0" xfId="1" applyFont="1" applyAlignment="1" applyProtection="1"/>
    <xf numFmtId="0" fontId="41" fillId="0" borderId="0" xfId="0" applyFont="1" applyBorder="1" applyAlignment="1">
      <alignment horizontal="center"/>
    </xf>
    <xf numFmtId="0" fontId="166" fillId="9" borderId="0" xfId="0" applyFont="1" applyFill="1" applyBorder="1" applyAlignment="1">
      <alignment horizontal="center" vertical="top"/>
    </xf>
    <xf numFmtId="0" fontId="95" fillId="9" borderId="0" xfId="0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 applyProtection="1">
      <alignment horizontal="center"/>
      <protection locked="0"/>
    </xf>
    <xf numFmtId="0" fontId="187" fillId="0" borderId="0" xfId="0" applyFont="1"/>
    <xf numFmtId="0" fontId="186" fillId="0" borderId="0" xfId="0" applyFont="1"/>
    <xf numFmtId="0" fontId="186" fillId="0" borderId="0" xfId="0" applyFont="1" applyAlignment="1">
      <alignment vertical="center"/>
    </xf>
    <xf numFmtId="0" fontId="136" fillId="0" borderId="0" xfId="0" applyFont="1" applyAlignment="1" applyProtection="1">
      <alignment vertical="center"/>
      <protection locked="0"/>
    </xf>
    <xf numFmtId="0" fontId="146" fillId="0" borderId="0" xfId="0" applyFont="1" applyFill="1" applyProtection="1">
      <protection locked="0"/>
    </xf>
    <xf numFmtId="0" fontId="136" fillId="0" borderId="0" xfId="0" applyFont="1" applyAlignment="1" applyProtection="1">
      <alignment horizontal="left"/>
      <protection locked="0"/>
    </xf>
    <xf numFmtId="0" fontId="136" fillId="0" borderId="0" xfId="0" applyFont="1" applyAlignment="1" applyProtection="1">
      <alignment vertical="top"/>
      <protection locked="0"/>
    </xf>
    <xf numFmtId="172" fontId="136" fillId="0" borderId="0" xfId="0" applyNumberFormat="1" applyFont="1" applyProtection="1">
      <protection locked="0"/>
    </xf>
    <xf numFmtId="0" fontId="136" fillId="0" borderId="0" xfId="0" applyFont="1" applyAlignment="1" applyProtection="1">
      <protection locked="0"/>
    </xf>
    <xf numFmtId="0" fontId="136" fillId="0" borderId="0" xfId="0" applyFont="1" applyFill="1" applyBorder="1" applyAlignment="1" applyProtection="1">
      <alignment vertical="center"/>
      <protection locked="0"/>
    </xf>
    <xf numFmtId="0" fontId="136" fillId="0" borderId="0" xfId="0" applyFont="1" applyFill="1" applyBorder="1" applyAlignment="1" applyProtection="1">
      <alignment horizontal="left"/>
      <protection locked="0"/>
    </xf>
    <xf numFmtId="0" fontId="136" fillId="0" borderId="0" xfId="0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45" fillId="0" borderId="0" xfId="0" applyFont="1" applyAlignment="1" applyProtection="1">
      <alignment vertical="center"/>
      <protection locked="0"/>
    </xf>
    <xf numFmtId="0" fontId="155" fillId="0" borderId="0" xfId="1" applyFont="1" applyFill="1" applyAlignment="1" applyProtection="1">
      <protection locked="0"/>
    </xf>
    <xf numFmtId="0" fontId="155" fillId="0" borderId="0" xfId="0" applyFont="1" applyProtection="1">
      <protection locked="0"/>
    </xf>
    <xf numFmtId="0" fontId="136" fillId="0" borderId="0" xfId="0" applyFont="1" applyFill="1" applyAlignment="1" applyProtection="1">
      <alignment horizontal="right"/>
      <protection locked="0"/>
    </xf>
    <xf numFmtId="0" fontId="189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55" fillId="0" borderId="0" xfId="1" applyFont="1" applyAlignment="1" applyProtection="1"/>
    <xf numFmtId="0" fontId="5" fillId="9" borderId="0" xfId="0" applyFont="1" applyFill="1" applyAlignment="1">
      <alignment horizontal="right"/>
    </xf>
    <xf numFmtId="0" fontId="190" fillId="0" borderId="0" xfId="0" applyFont="1"/>
    <xf numFmtId="0" fontId="133" fillId="9" borderId="33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29" fillId="9" borderId="3" xfId="0" applyFont="1" applyFill="1" applyBorder="1" applyAlignment="1">
      <alignment horizontal="center"/>
    </xf>
    <xf numFmtId="0" fontId="133" fillId="9" borderId="1" xfId="0" applyFont="1" applyFill="1" applyBorder="1" applyAlignment="1">
      <alignment horizontal="center"/>
    </xf>
    <xf numFmtId="0" fontId="95" fillId="9" borderId="0" xfId="0" applyFont="1" applyFill="1" applyBorder="1" applyAlignment="1">
      <alignment horizontal="left"/>
    </xf>
    <xf numFmtId="0" fontId="191" fillId="9" borderId="0" xfId="0" applyFont="1" applyFill="1" applyBorder="1"/>
    <xf numFmtId="0" fontId="3" fillId="5" borderId="1" xfId="0" applyFont="1" applyFill="1" applyBorder="1" applyAlignment="1" applyProtection="1">
      <alignment horizontal="center"/>
      <protection locked="0"/>
    </xf>
    <xf numFmtId="0" fontId="185" fillId="0" borderId="11" xfId="1" applyFont="1" applyBorder="1" applyAlignment="1" applyProtection="1">
      <alignment horizontal="center" vertical="top"/>
    </xf>
    <xf numFmtId="0" fontId="174" fillId="9" borderId="0" xfId="0" applyFont="1" applyFill="1" applyBorder="1" applyAlignment="1">
      <alignment vertical="top"/>
    </xf>
    <xf numFmtId="0" fontId="183" fillId="0" borderId="0" xfId="1" applyFont="1" applyBorder="1" applyAlignment="1" applyProtection="1">
      <alignment horizontal="center"/>
    </xf>
    <xf numFmtId="0" fontId="146" fillId="9" borderId="10" xfId="0" applyFont="1" applyFill="1" applyBorder="1"/>
    <xf numFmtId="0" fontId="29" fillId="9" borderId="6" xfId="0" applyFont="1" applyFill="1" applyBorder="1" applyAlignment="1">
      <alignment horizontal="center"/>
    </xf>
    <xf numFmtId="0" fontId="192" fillId="9" borderId="0" xfId="0" applyFont="1" applyFill="1" applyBorder="1" applyAlignment="1">
      <alignment horizontal="center"/>
    </xf>
    <xf numFmtId="0" fontId="29" fillId="0" borderId="0" xfId="0" applyFont="1" applyFill="1" applyBorder="1"/>
    <xf numFmtId="164" fontId="8" fillId="5" borderId="1" xfId="0" applyNumberFormat="1" applyFont="1" applyFill="1" applyBorder="1" applyAlignment="1" applyProtection="1">
      <alignment horizontal="center"/>
      <protection locked="0"/>
    </xf>
    <xf numFmtId="0" fontId="134" fillId="0" borderId="0" xfId="0" applyFont="1" applyFill="1" applyAlignment="1">
      <alignment vertical="center"/>
    </xf>
    <xf numFmtId="0" fontId="126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127" fillId="9" borderId="0" xfId="0" applyFont="1" applyFill="1" applyBorder="1"/>
    <xf numFmtId="0" fontId="127" fillId="10" borderId="3" xfId="0" applyFont="1" applyFill="1" applyBorder="1"/>
    <xf numFmtId="0" fontId="193" fillId="3" borderId="1" xfId="0" applyFont="1" applyFill="1" applyBorder="1"/>
    <xf numFmtId="0" fontId="3" fillId="9" borderId="8" xfId="0" applyFont="1" applyFill="1" applyBorder="1" applyAlignment="1">
      <alignment horizontal="right"/>
    </xf>
    <xf numFmtId="0" fontId="36" fillId="9" borderId="8" xfId="0" applyFont="1" applyFill="1" applyBorder="1" applyAlignment="1">
      <alignment horizontal="center"/>
    </xf>
    <xf numFmtId="0" fontId="36" fillId="9" borderId="8" xfId="0" applyFont="1" applyFill="1" applyBorder="1"/>
    <xf numFmtId="0" fontId="3" fillId="9" borderId="8" xfId="0" applyFont="1" applyFill="1" applyBorder="1" applyAlignment="1">
      <alignment horizontal="left"/>
    </xf>
    <xf numFmtId="0" fontId="194" fillId="9" borderId="0" xfId="0" applyFont="1" applyFill="1" applyBorder="1" applyAlignment="1">
      <alignment horizontal="center"/>
    </xf>
    <xf numFmtId="0" fontId="127" fillId="9" borderId="8" xfId="0" applyFont="1" applyFill="1" applyBorder="1"/>
    <xf numFmtId="0" fontId="187" fillId="9" borderId="0" xfId="0" applyFont="1" applyFill="1" applyBorder="1"/>
    <xf numFmtId="0" fontId="127" fillId="10" borderId="2" xfId="0" applyFont="1" applyFill="1" applyBorder="1"/>
    <xf numFmtId="0" fontId="3" fillId="9" borderId="0" xfId="0" applyFont="1" applyFill="1" applyBorder="1" applyAlignment="1">
      <alignment horizontal="left" vertical="top"/>
    </xf>
    <xf numFmtId="0" fontId="29" fillId="9" borderId="8" xfId="0" applyFont="1" applyFill="1" applyBorder="1" applyAlignment="1">
      <alignment horizontal="center"/>
    </xf>
    <xf numFmtId="0" fontId="50" fillId="0" borderId="0" xfId="0" applyFont="1"/>
    <xf numFmtId="0" fontId="10" fillId="0" borderId="0" xfId="0" applyFont="1"/>
    <xf numFmtId="0" fontId="21" fillId="9" borderId="11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horizontal="right" vertical="top"/>
    </xf>
    <xf numFmtId="0" fontId="3" fillId="0" borderId="7" xfId="0" applyFont="1" applyBorder="1"/>
    <xf numFmtId="0" fontId="44" fillId="9" borderId="0" xfId="0" applyFont="1" applyFill="1" applyBorder="1" applyAlignment="1">
      <alignment horizontal="left"/>
    </xf>
    <xf numFmtId="0" fontId="44" fillId="9" borderId="0" xfId="0" applyFont="1" applyFill="1" applyBorder="1"/>
    <xf numFmtId="0" fontId="9" fillId="9" borderId="8" xfId="0" applyFont="1" applyFill="1" applyBorder="1" applyAlignment="1">
      <alignment horizontal="right"/>
    </xf>
    <xf numFmtId="0" fontId="21" fillId="9" borderId="0" xfId="0" applyFont="1" applyFill="1" applyBorder="1" applyAlignment="1">
      <alignment horizontal="center" vertical="top"/>
    </xf>
    <xf numFmtId="0" fontId="171" fillId="9" borderId="0" xfId="0" applyFont="1" applyFill="1" applyBorder="1" applyAlignment="1">
      <alignment horizontal="right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30" fillId="9" borderId="0" xfId="0" applyFont="1" applyFill="1" applyBorder="1" applyAlignment="1" applyProtection="1">
      <alignment horizontal="left"/>
    </xf>
    <xf numFmtId="0" fontId="6" fillId="0" borderId="2" xfId="0" applyFont="1" applyFill="1" applyBorder="1" applyAlignment="1">
      <alignment horizontal="center" vertical="center"/>
    </xf>
    <xf numFmtId="180" fontId="3" fillId="5" borderId="5" xfId="0" applyNumberFormat="1" applyFont="1" applyFill="1" applyBorder="1" applyAlignment="1" applyProtection="1">
      <alignment horizontal="center" vertical="center"/>
      <protection locked="0"/>
    </xf>
    <xf numFmtId="180" fontId="3" fillId="5" borderId="8" xfId="0" applyNumberFormat="1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>
      <alignment horizontal="center" vertical="center"/>
    </xf>
    <xf numFmtId="180" fontId="3" fillId="5" borderId="10" xfId="0" applyNumberFormat="1" applyFont="1" applyFill="1" applyBorder="1" applyAlignment="1" applyProtection="1">
      <alignment horizontal="center" vertical="center"/>
      <protection locked="0"/>
    </xf>
    <xf numFmtId="172" fontId="3" fillId="3" borderId="1" xfId="0" applyNumberFormat="1" applyFont="1" applyFill="1" applyBorder="1" applyAlignment="1" applyProtection="1">
      <alignment vertical="center"/>
      <protection hidden="1"/>
    </xf>
    <xf numFmtId="11" fontId="3" fillId="3" borderId="1" xfId="0" applyNumberFormat="1" applyFont="1" applyFill="1" applyBorder="1" applyAlignment="1" applyProtection="1">
      <alignment vertical="center"/>
      <protection hidden="1"/>
    </xf>
    <xf numFmtId="1" fontId="3" fillId="3" borderId="1" xfId="0" applyNumberFormat="1" applyFont="1" applyFill="1" applyBorder="1" applyAlignment="1" applyProtection="1">
      <alignment horizontal="right" vertical="center"/>
      <protection hidden="1"/>
    </xf>
    <xf numFmtId="1" fontId="3" fillId="3" borderId="1" xfId="0" applyNumberFormat="1" applyFont="1" applyFill="1" applyBorder="1" applyAlignment="1" applyProtection="1">
      <alignment vertical="center"/>
      <protection hidden="1"/>
    </xf>
    <xf numFmtId="11" fontId="3" fillId="10" borderId="1" xfId="0" applyNumberFormat="1" applyFont="1" applyFill="1" applyBorder="1" applyAlignment="1" applyProtection="1">
      <alignment vertical="center"/>
      <protection hidden="1"/>
    </xf>
    <xf numFmtId="2" fontId="3" fillId="10" borderId="1" xfId="0" applyNumberFormat="1" applyFont="1" applyFill="1" applyBorder="1" applyAlignment="1" applyProtection="1">
      <alignment horizontal="right"/>
      <protection hidden="1"/>
    </xf>
    <xf numFmtId="165" fontId="3" fillId="3" borderId="1" xfId="0" applyNumberFormat="1" applyFont="1" applyFill="1" applyBorder="1" applyAlignment="1" applyProtection="1">
      <alignment vertical="center"/>
      <protection hidden="1"/>
    </xf>
    <xf numFmtId="11" fontId="3" fillId="4" borderId="1" xfId="0" applyNumberFormat="1" applyFont="1" applyFill="1" applyBorder="1" applyAlignment="1" applyProtection="1">
      <alignment horizontal="right" vertical="center"/>
      <protection hidden="1"/>
    </xf>
    <xf numFmtId="11" fontId="3" fillId="3" borderId="1" xfId="0" applyNumberFormat="1" applyFont="1" applyFill="1" applyBorder="1" applyAlignment="1" applyProtection="1">
      <alignment horizontal="right" vertical="center"/>
      <protection hidden="1"/>
    </xf>
    <xf numFmtId="11" fontId="8" fillId="4" borderId="1" xfId="0" applyNumberFormat="1" applyFont="1" applyFill="1" applyBorder="1" applyAlignment="1" applyProtection="1">
      <alignment horizontal="right" vertical="center"/>
      <protection hidden="1"/>
    </xf>
    <xf numFmtId="2" fontId="3" fillId="3" borderId="1" xfId="0" applyNumberFormat="1" applyFont="1" applyFill="1" applyBorder="1" applyAlignment="1" applyProtection="1">
      <alignment vertical="center"/>
      <protection hidden="1"/>
    </xf>
    <xf numFmtId="0" fontId="3" fillId="10" borderId="1" xfId="0" applyFont="1" applyFill="1" applyBorder="1" applyAlignment="1" applyProtection="1">
      <alignment vertical="center"/>
      <protection hidden="1"/>
    </xf>
    <xf numFmtId="2" fontId="3" fillId="3" borderId="1" xfId="0" applyNumberFormat="1" applyFont="1" applyFill="1" applyBorder="1" applyProtection="1"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5" fontId="3" fillId="10" borderId="1" xfId="0" applyNumberFormat="1" applyFont="1" applyFill="1" applyBorder="1" applyProtection="1">
      <protection hidden="1"/>
    </xf>
    <xf numFmtId="176" fontId="3" fillId="3" borderId="1" xfId="0" applyNumberFormat="1" applyFont="1" applyFill="1" applyBorder="1" applyAlignment="1" applyProtection="1">
      <alignment horizontal="right" vertical="center"/>
      <protection hidden="1"/>
    </xf>
    <xf numFmtId="176" fontId="8" fillId="3" borderId="1" xfId="0" applyNumberFormat="1" applyFont="1" applyFill="1" applyBorder="1" applyAlignment="1" applyProtection="1">
      <alignment horizontal="right" vertical="center"/>
      <protection hidden="1"/>
    </xf>
    <xf numFmtId="176" fontId="3" fillId="3" borderId="1" xfId="0" applyNumberFormat="1" applyFont="1" applyFill="1" applyBorder="1" applyAlignment="1" applyProtection="1">
      <alignment vertical="center"/>
      <protection hidden="1"/>
    </xf>
    <xf numFmtId="176" fontId="3" fillId="3" borderId="1" xfId="0" applyNumberFormat="1" applyFont="1" applyFill="1" applyBorder="1" applyAlignment="1" applyProtection="1">
      <protection hidden="1"/>
    </xf>
    <xf numFmtId="172" fontId="8" fillId="10" borderId="1" xfId="0" applyNumberFormat="1" applyFont="1" applyFill="1" applyBorder="1" applyAlignment="1" applyProtection="1">
      <alignment vertical="center"/>
      <protection hidden="1"/>
    </xf>
    <xf numFmtId="164" fontId="3" fillId="3" borderId="1" xfId="0" applyNumberFormat="1" applyFont="1" applyFill="1" applyBorder="1" applyAlignment="1" applyProtection="1">
      <alignment vertical="center"/>
      <protection hidden="1"/>
    </xf>
    <xf numFmtId="164" fontId="3" fillId="3" borderId="1" xfId="0" applyNumberFormat="1" applyFont="1" applyFill="1" applyBorder="1" applyAlignment="1" applyProtection="1">
      <alignment horizontal="right" vertical="center"/>
      <protection hidden="1"/>
    </xf>
    <xf numFmtId="2" fontId="3" fillId="3" borderId="1" xfId="0" applyNumberFormat="1" applyFont="1" applyFill="1" applyBorder="1" applyAlignment="1" applyProtection="1">
      <alignment vertical="center" wrapText="1"/>
      <protection hidden="1"/>
    </xf>
    <xf numFmtId="1" fontId="8" fillId="3" borderId="1" xfId="0" applyNumberFormat="1" applyFont="1" applyFill="1" applyBorder="1" applyAlignment="1" applyProtection="1">
      <alignment vertical="center" wrapText="1"/>
      <protection hidden="1"/>
    </xf>
    <xf numFmtId="11" fontId="3" fillId="3" borderId="1" xfId="0" applyNumberFormat="1" applyFont="1" applyFill="1" applyBorder="1" applyAlignment="1" applyProtection="1">
      <alignment horizontal="right"/>
      <protection hidden="1"/>
    </xf>
    <xf numFmtId="49" fontId="93" fillId="0" borderId="0" xfId="0" applyNumberFormat="1" applyFont="1" applyBorder="1" applyAlignment="1">
      <alignment horizontal="center"/>
    </xf>
    <xf numFmtId="0" fontId="20" fillId="4" borderId="2" xfId="0" applyFont="1" applyFill="1" applyBorder="1"/>
    <xf numFmtId="0" fontId="20" fillId="4" borderId="3" xfId="0" applyFont="1" applyFill="1" applyBorder="1"/>
    <xf numFmtId="0" fontId="8" fillId="9" borderId="0" xfId="0" applyFont="1" applyFill="1" applyBorder="1" applyAlignment="1">
      <alignment horizontal="right" vertical="top"/>
    </xf>
    <xf numFmtId="0" fontId="21" fillId="9" borderId="0" xfId="0" applyFont="1" applyFill="1" applyBorder="1" applyAlignment="1" applyProtection="1">
      <alignment horizontal="center" vertical="center"/>
    </xf>
    <xf numFmtId="0" fontId="0" fillId="9" borderId="10" xfId="0" applyFill="1" applyBorder="1" applyAlignment="1">
      <alignment vertical="center"/>
    </xf>
    <xf numFmtId="0" fontId="5" fillId="9" borderId="11" xfId="0" applyFont="1" applyFill="1" applyBorder="1" applyAlignment="1" applyProtection="1">
      <alignment horizontal="right" vertical="center"/>
    </xf>
    <xf numFmtId="0" fontId="21" fillId="9" borderId="11" xfId="0" applyFont="1" applyFill="1" applyBorder="1" applyAlignment="1" applyProtection="1">
      <alignment vertical="center"/>
    </xf>
    <xf numFmtId="0" fontId="5" fillId="9" borderId="11" xfId="0" applyFont="1" applyFill="1" applyBorder="1" applyAlignment="1" applyProtection="1">
      <alignment horizontal="left" vertical="center"/>
    </xf>
    <xf numFmtId="0" fontId="0" fillId="9" borderId="12" xfId="0" applyFill="1" applyBorder="1" applyAlignment="1" applyProtection="1">
      <alignment vertical="center"/>
    </xf>
    <xf numFmtId="0" fontId="21" fillId="9" borderId="0" xfId="0" applyFont="1" applyFill="1" applyBorder="1" applyAlignment="1" applyProtection="1">
      <alignment horizontal="center" vertical="top"/>
    </xf>
    <xf numFmtId="0" fontId="146" fillId="9" borderId="11" xfId="0" applyFont="1" applyFill="1" applyBorder="1" applyAlignment="1" applyProtection="1">
      <alignment horizontal="center" vertical="center"/>
    </xf>
    <xf numFmtId="0" fontId="6" fillId="9" borderId="2" xfId="0" applyFont="1" applyFill="1" applyBorder="1" applyAlignment="1">
      <alignment vertical="center"/>
    </xf>
    <xf numFmtId="0" fontId="8" fillId="9" borderId="0" xfId="0" applyFont="1" applyFill="1"/>
    <xf numFmtId="0" fontId="20" fillId="9" borderId="2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left"/>
    </xf>
    <xf numFmtId="0" fontId="9" fillId="9" borderId="4" xfId="0" applyFont="1" applyFill="1" applyBorder="1"/>
    <xf numFmtId="0" fontId="20" fillId="9" borderId="4" xfId="0" applyFont="1" applyFill="1" applyBorder="1" applyAlignment="1">
      <alignment horizontal="center"/>
    </xf>
    <xf numFmtId="0" fontId="9" fillId="9" borderId="3" xfId="0" applyFont="1" applyFill="1" applyBorder="1"/>
    <xf numFmtId="0" fontId="166" fillId="0" borderId="0" xfId="0" applyFont="1" applyAlignment="1">
      <alignment horizontal="left"/>
    </xf>
    <xf numFmtId="0" fontId="200" fillId="0" borderId="0" xfId="1" applyFont="1" applyAlignment="1" applyProtection="1">
      <alignment horizontal="center"/>
    </xf>
    <xf numFmtId="0" fontId="146" fillId="9" borderId="0" xfId="0" applyFont="1" applyFill="1" applyAlignment="1">
      <alignment horizontal="center"/>
    </xf>
    <xf numFmtId="0" fontId="167" fillId="0" borderId="0" xfId="0" applyFont="1" applyFill="1" applyBorder="1" applyAlignment="1">
      <alignment horizontal="center"/>
    </xf>
    <xf numFmtId="0" fontId="203" fillId="9" borderId="0" xfId="1" applyFont="1" applyFill="1" applyBorder="1" applyAlignment="1" applyProtection="1">
      <alignment horizontal="center" vertical="top"/>
    </xf>
    <xf numFmtId="0" fontId="146" fillId="9" borderId="0" xfId="0" applyFont="1" applyFill="1"/>
    <xf numFmtId="0" fontId="3" fillId="0" borderId="0" xfId="0" applyFont="1" applyAlignment="1" applyProtection="1">
      <alignment horizontal="center"/>
      <protection locked="0"/>
    </xf>
    <xf numFmtId="172" fontId="3" fillId="6" borderId="1" xfId="0" applyNumberFormat="1" applyFont="1" applyFill="1" applyBorder="1" applyAlignment="1" applyProtection="1">
      <alignment horizontal="right" vertical="center"/>
    </xf>
    <xf numFmtId="164" fontId="3" fillId="6" borderId="1" xfId="0" applyNumberFormat="1" applyFont="1" applyFill="1" applyBorder="1" applyAlignment="1" applyProtection="1">
      <alignment horizontal="right" vertical="center"/>
      <protection hidden="1"/>
    </xf>
    <xf numFmtId="0" fontId="206" fillId="9" borderId="0" xfId="0" applyFont="1" applyFill="1" applyBorder="1" applyAlignment="1">
      <alignment horizontal="center"/>
    </xf>
    <xf numFmtId="0" fontId="39" fillId="7" borderId="3" xfId="0" applyFont="1" applyFill="1" applyBorder="1" applyAlignment="1">
      <alignment horizontal="center"/>
    </xf>
    <xf numFmtId="0" fontId="30" fillId="9" borderId="0" xfId="0" applyFont="1" applyFill="1" applyBorder="1" applyProtection="1"/>
    <xf numFmtId="0" fontId="26" fillId="9" borderId="0" xfId="0" applyFont="1" applyFill="1" applyBorder="1" applyAlignment="1" applyProtection="1">
      <alignment horizontal="left"/>
    </xf>
    <xf numFmtId="0" fontId="30" fillId="9" borderId="0" xfId="0" applyFont="1" applyFill="1" applyBorder="1" applyAlignment="1" applyProtection="1">
      <alignment horizontal="left" vertical="center"/>
    </xf>
    <xf numFmtId="0" fontId="14" fillId="9" borderId="0" xfId="0" applyFont="1" applyFill="1" applyBorder="1" applyAlignment="1" applyProtection="1">
      <alignment horizontal="right" vertical="top"/>
    </xf>
    <xf numFmtId="49" fontId="30" fillId="9" borderId="0" xfId="0" applyNumberFormat="1" applyFont="1" applyFill="1" applyBorder="1" applyAlignment="1" applyProtection="1">
      <alignment horizontal="center"/>
    </xf>
    <xf numFmtId="49" fontId="30" fillId="9" borderId="0" xfId="0" applyNumberFormat="1" applyFont="1" applyFill="1" applyBorder="1" applyAlignment="1" applyProtection="1">
      <alignment horizontal="left"/>
    </xf>
    <xf numFmtId="0" fontId="26" fillId="9" borderId="0" xfId="0" applyFont="1" applyFill="1" applyBorder="1" applyAlignment="1" applyProtection="1">
      <alignment horizontal="right"/>
    </xf>
    <xf numFmtId="0" fontId="30" fillId="9" borderId="0" xfId="0" applyFont="1" applyFill="1" applyBorder="1"/>
    <xf numFmtId="11" fontId="29" fillId="9" borderId="0" xfId="0" applyNumberFormat="1" applyFont="1" applyFill="1" applyBorder="1" applyAlignment="1">
      <alignment horizontal="left" vertical="center"/>
    </xf>
    <xf numFmtId="0" fontId="3" fillId="9" borderId="0" xfId="0" applyFont="1" applyFill="1" applyAlignment="1"/>
    <xf numFmtId="0" fontId="29" fillId="9" borderId="0" xfId="0" applyFont="1" applyFill="1" applyAlignment="1"/>
    <xf numFmtId="0" fontId="29" fillId="9" borderId="0" xfId="0" applyFont="1" applyFill="1" applyAlignment="1">
      <alignment vertical="top"/>
    </xf>
    <xf numFmtId="0" fontId="3" fillId="9" borderId="0" xfId="0" applyFont="1" applyFill="1" applyAlignment="1">
      <alignment vertical="top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0" borderId="0" xfId="0" applyFont="1"/>
    <xf numFmtId="0" fontId="50" fillId="6" borderId="13" xfId="0" applyFont="1" applyFill="1" applyBorder="1" applyAlignment="1">
      <alignment horizontal="center"/>
    </xf>
    <xf numFmtId="0" fontId="36" fillId="9" borderId="0" xfId="0" applyFont="1" applyFill="1" applyBorder="1" applyAlignment="1" applyProtection="1">
      <alignment horizontal="center" vertical="top"/>
    </xf>
    <xf numFmtId="0" fontId="30" fillId="9" borderId="0" xfId="0" applyFont="1" applyFill="1" applyBorder="1" applyAlignment="1" applyProtection="1">
      <alignment horizontal="left" vertical="top"/>
    </xf>
    <xf numFmtId="0" fontId="37" fillId="0" borderId="0" xfId="1" applyAlignment="1" applyProtection="1">
      <alignment vertical="center"/>
      <protection locked="0"/>
    </xf>
    <xf numFmtId="0" fontId="155" fillId="9" borderId="0" xfId="1" applyFont="1" applyFill="1" applyBorder="1" applyAlignment="1" applyProtection="1">
      <alignment horizontal="center" vertical="center"/>
    </xf>
    <xf numFmtId="0" fontId="29" fillId="9" borderId="0" xfId="0" applyFont="1" applyFill="1" applyBorder="1" applyAlignment="1">
      <alignment horizontal="center" vertical="top"/>
    </xf>
    <xf numFmtId="1" fontId="3" fillId="10" borderId="5" xfId="0" applyNumberFormat="1" applyFont="1" applyFill="1" applyBorder="1" applyAlignment="1" applyProtection="1">
      <alignment horizontal="center" vertical="center"/>
      <protection hidden="1"/>
    </xf>
    <xf numFmtId="172" fontId="3" fillId="3" borderId="5" xfId="0" applyNumberFormat="1" applyFont="1" applyFill="1" applyBorder="1" applyAlignment="1" applyProtection="1">
      <alignment horizontal="center" vertical="center"/>
      <protection hidden="1"/>
    </xf>
    <xf numFmtId="1" fontId="3" fillId="3" borderId="2" xfId="0" applyNumberFormat="1" applyFont="1" applyFill="1" applyBorder="1" applyAlignment="1" applyProtection="1">
      <alignment horizontal="center" vertical="center"/>
      <protection hidden="1"/>
    </xf>
    <xf numFmtId="172" fontId="3" fillId="3" borderId="6" xfId="0" applyNumberFormat="1" applyFont="1" applyFill="1" applyBorder="1" applyAlignment="1" applyProtection="1">
      <alignment horizontal="center" vertical="center"/>
      <protection hidden="1"/>
    </xf>
    <xf numFmtId="172" fontId="8" fillId="3" borderId="2" xfId="0" applyNumberFormat="1" applyFont="1" applyFill="1" applyBorder="1" applyAlignment="1" applyProtection="1">
      <alignment horizontal="center" vertical="center"/>
      <protection hidden="1"/>
    </xf>
    <xf numFmtId="169" fontId="3" fillId="10" borderId="7" xfId="0" applyNumberFormat="1" applyFont="1" applyFill="1" applyBorder="1" applyAlignment="1" applyProtection="1">
      <alignment horizontal="center" vertical="center"/>
      <protection hidden="1"/>
    </xf>
    <xf numFmtId="1" fontId="3" fillId="10" borderId="8" xfId="0" applyNumberFormat="1" applyFont="1" applyFill="1" applyBorder="1" applyAlignment="1" applyProtection="1">
      <alignment horizontal="center" vertical="center"/>
      <protection hidden="1"/>
    </xf>
    <xf numFmtId="172" fontId="3" fillId="3" borderId="8" xfId="0" applyNumberFormat="1" applyFont="1" applyFill="1" applyBorder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/>
      <protection hidden="1"/>
    </xf>
    <xf numFmtId="172" fontId="3" fillId="3" borderId="0" xfId="0" applyNumberFormat="1" applyFont="1" applyFill="1" applyBorder="1" applyAlignment="1" applyProtection="1">
      <alignment horizontal="center" vertical="center"/>
      <protection hidden="1"/>
    </xf>
    <xf numFmtId="172" fontId="8" fillId="3" borderId="4" xfId="0" applyNumberFormat="1" applyFont="1" applyFill="1" applyBorder="1" applyAlignment="1" applyProtection="1">
      <alignment horizontal="center" vertical="center"/>
      <protection hidden="1"/>
    </xf>
    <xf numFmtId="169" fontId="3" fillId="10" borderId="9" xfId="0" applyNumberFormat="1" applyFont="1" applyFill="1" applyBorder="1" applyAlignment="1" applyProtection="1">
      <alignment horizontal="center" vertical="center"/>
      <protection hidden="1"/>
    </xf>
    <xf numFmtId="1" fontId="3" fillId="10" borderId="10" xfId="0" applyNumberFormat="1" applyFont="1" applyFill="1" applyBorder="1" applyAlignment="1" applyProtection="1">
      <alignment horizontal="center" vertical="center"/>
      <protection hidden="1"/>
    </xf>
    <xf numFmtId="172" fontId="3" fillId="3" borderId="10" xfId="0" applyNumberFormat="1" applyFont="1" applyFill="1" applyBorder="1" applyAlignment="1" applyProtection="1">
      <alignment horizontal="center" vertical="center"/>
      <protection hidden="1"/>
    </xf>
    <xf numFmtId="1" fontId="3" fillId="3" borderId="3" xfId="0" applyNumberFormat="1" applyFont="1" applyFill="1" applyBorder="1" applyAlignment="1" applyProtection="1">
      <alignment horizontal="center" vertical="center"/>
      <protection hidden="1"/>
    </xf>
    <xf numFmtId="172" fontId="3" fillId="3" borderId="11" xfId="0" applyNumberFormat="1" applyFont="1" applyFill="1" applyBorder="1" applyAlignment="1" applyProtection="1">
      <alignment horizontal="center" vertical="center"/>
      <protection hidden="1"/>
    </xf>
    <xf numFmtId="172" fontId="8" fillId="3" borderId="3" xfId="0" applyNumberFormat="1" applyFont="1" applyFill="1" applyBorder="1" applyAlignment="1" applyProtection="1">
      <alignment horizontal="center" vertical="center"/>
      <protection hidden="1"/>
    </xf>
    <xf numFmtId="169" fontId="3" fillId="10" borderId="12" xfId="0" applyNumberFormat="1" applyFont="1" applyFill="1" applyBorder="1" applyAlignment="1" applyProtection="1">
      <alignment horizontal="center" vertical="center"/>
      <protection hidden="1"/>
    </xf>
    <xf numFmtId="1" fontId="3" fillId="10" borderId="1" xfId="0" applyNumberFormat="1" applyFont="1" applyFill="1" applyBorder="1" applyAlignment="1" applyProtection="1">
      <alignment horizontal="right" vertical="center"/>
      <protection hidden="1"/>
    </xf>
    <xf numFmtId="2" fontId="3" fillId="10" borderId="1" xfId="0" applyNumberFormat="1" applyFont="1" applyFill="1" applyBorder="1" applyAlignment="1" applyProtection="1">
      <alignment horizontal="right" vertical="center"/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hidden="1"/>
    </xf>
    <xf numFmtId="2" fontId="8" fillId="3" borderId="1" xfId="0" applyNumberFormat="1" applyFont="1" applyFill="1" applyBorder="1" applyAlignment="1" applyProtection="1">
      <alignment horizontal="center" vertical="center"/>
      <protection hidden="1"/>
    </xf>
    <xf numFmtId="2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8" fillId="3" borderId="1" xfId="0" applyNumberFormat="1" applyFont="1" applyFill="1" applyBorder="1" applyAlignment="1" applyProtection="1">
      <alignment horizontal="right" vertical="center"/>
      <protection hidden="1"/>
    </xf>
    <xf numFmtId="176" fontId="8" fillId="7" borderId="1" xfId="0" applyNumberFormat="1" applyFont="1" applyFill="1" applyBorder="1" applyAlignment="1" applyProtection="1">
      <protection hidden="1"/>
    </xf>
    <xf numFmtId="176" fontId="3" fillId="7" borderId="1" xfId="0" applyNumberFormat="1" applyFont="1" applyFill="1" applyBorder="1" applyProtection="1">
      <protection hidden="1"/>
    </xf>
    <xf numFmtId="164" fontId="3" fillId="10" borderId="1" xfId="0" applyNumberFormat="1" applyFont="1" applyFill="1" applyBorder="1" applyAlignment="1" applyProtection="1">
      <alignment vertical="center"/>
      <protection hidden="1"/>
    </xf>
    <xf numFmtId="165" fontId="3" fillId="10" borderId="1" xfId="0" applyNumberFormat="1" applyFont="1" applyFill="1" applyBorder="1" applyAlignment="1" applyProtection="1">
      <alignment vertical="center"/>
      <protection hidden="1"/>
    </xf>
    <xf numFmtId="164" fontId="3" fillId="6" borderId="1" xfId="0" applyNumberFormat="1" applyFont="1" applyFill="1" applyBorder="1" applyAlignment="1" applyProtection="1">
      <alignment vertical="center"/>
      <protection hidden="1"/>
    </xf>
    <xf numFmtId="165" fontId="3" fillId="6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166" fontId="3" fillId="3" borderId="1" xfId="0" applyNumberFormat="1" applyFont="1" applyFill="1" applyBorder="1" applyAlignment="1" applyProtection="1">
      <alignment vertical="center"/>
      <protection hidden="1"/>
    </xf>
    <xf numFmtId="165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6" fontId="3" fillId="3" borderId="1" xfId="0" applyNumberFormat="1" applyFont="1" applyFill="1" applyBorder="1" applyAlignment="1" applyProtection="1">
      <alignment horizontal="center" vertical="center"/>
      <protection hidden="1"/>
    </xf>
    <xf numFmtId="2" fontId="3" fillId="6" borderId="1" xfId="0" applyNumberFormat="1" applyFont="1" applyFill="1" applyBorder="1" applyAlignment="1" applyProtection="1">
      <alignment horizontal="center" vertical="center"/>
      <protection hidden="1"/>
    </xf>
    <xf numFmtId="165" fontId="3" fillId="10" borderId="1" xfId="0" applyNumberFormat="1" applyFont="1" applyFill="1" applyBorder="1" applyAlignment="1" applyProtection="1">
      <alignment horizontal="center" vertical="center"/>
      <protection hidden="1"/>
    </xf>
    <xf numFmtId="2" fontId="3" fillId="9" borderId="4" xfId="0" applyNumberFormat="1" applyFont="1" applyFill="1" applyBorder="1" applyAlignment="1" applyProtection="1">
      <alignment horizontal="center"/>
      <protection hidden="1"/>
    </xf>
    <xf numFmtId="1" fontId="3" fillId="9" borderId="4" xfId="0" applyNumberFormat="1" applyFont="1" applyFill="1" applyBorder="1" applyAlignment="1" applyProtection="1">
      <alignment horizontal="center"/>
      <protection hidden="1"/>
    </xf>
    <xf numFmtId="166" fontId="3" fillId="9" borderId="4" xfId="0" applyNumberFormat="1" applyFont="1" applyFill="1" applyBorder="1" applyAlignment="1" applyProtection="1">
      <alignment horizontal="center"/>
      <protection hidden="1"/>
    </xf>
    <xf numFmtId="2" fontId="3" fillId="9" borderId="14" xfId="0" applyNumberFormat="1" applyFont="1" applyFill="1" applyBorder="1" applyAlignment="1" applyProtection="1">
      <alignment horizontal="center"/>
      <protection hidden="1"/>
    </xf>
    <xf numFmtId="2" fontId="3" fillId="9" borderId="22" xfId="0" applyNumberFormat="1" applyFont="1" applyFill="1" applyBorder="1" applyAlignment="1" applyProtection="1">
      <alignment horizontal="center"/>
      <protection hidden="1"/>
    </xf>
    <xf numFmtId="1" fontId="3" fillId="9" borderId="22" xfId="0" applyNumberFormat="1" applyFont="1" applyFill="1" applyBorder="1" applyAlignment="1" applyProtection="1">
      <alignment horizontal="center"/>
      <protection hidden="1"/>
    </xf>
    <xf numFmtId="166" fontId="3" fillId="9" borderId="22" xfId="0" applyNumberFormat="1" applyFont="1" applyFill="1" applyBorder="1" applyAlignment="1" applyProtection="1">
      <alignment horizontal="center"/>
      <protection hidden="1"/>
    </xf>
    <xf numFmtId="2" fontId="3" fillId="9" borderId="16" xfId="0" applyNumberFormat="1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Protection="1">
      <protection hidden="1"/>
    </xf>
    <xf numFmtId="176" fontId="3" fillId="3" borderId="1" xfId="0" applyNumberFormat="1" applyFont="1" applyFill="1" applyBorder="1" applyProtection="1">
      <protection hidden="1"/>
    </xf>
    <xf numFmtId="165" fontId="3" fillId="7" borderId="1" xfId="0" applyNumberFormat="1" applyFont="1" applyFill="1" applyBorder="1" applyAlignment="1" applyProtection="1">
      <alignment vertical="center"/>
      <protection hidden="1"/>
    </xf>
    <xf numFmtId="2" fontId="3" fillId="7" borderId="1" xfId="0" applyNumberFormat="1" applyFont="1" applyFill="1" applyBorder="1" applyAlignment="1" applyProtection="1">
      <alignment vertical="center"/>
      <protection hidden="1"/>
    </xf>
    <xf numFmtId="2" fontId="3" fillId="7" borderId="1" xfId="0" applyNumberFormat="1" applyFont="1" applyFill="1" applyBorder="1" applyProtection="1">
      <protection hidden="1"/>
    </xf>
    <xf numFmtId="169" fontId="3" fillId="7" borderId="1" xfId="0" applyNumberFormat="1" applyFont="1" applyFill="1" applyBorder="1" applyProtection="1">
      <protection hidden="1"/>
    </xf>
    <xf numFmtId="2" fontId="3" fillId="6" borderId="1" xfId="0" applyNumberFormat="1" applyFont="1" applyFill="1" applyBorder="1" applyProtection="1">
      <protection hidden="1"/>
    </xf>
    <xf numFmtId="11" fontId="3" fillId="6" borderId="1" xfId="0" applyNumberFormat="1" applyFont="1" applyFill="1" applyBorder="1" applyAlignment="1" applyProtection="1">
      <alignment vertical="center"/>
      <protection hidden="1"/>
    </xf>
    <xf numFmtId="169" fontId="3" fillId="7" borderId="1" xfId="0" applyNumberFormat="1" applyFont="1" applyFill="1" applyBorder="1" applyAlignment="1" applyProtection="1">
      <alignment vertical="center"/>
      <protection hidden="1"/>
    </xf>
    <xf numFmtId="176" fontId="3" fillId="7" borderId="1" xfId="0" applyNumberFormat="1" applyFont="1" applyFill="1" applyBorder="1" applyAlignment="1" applyProtection="1">
      <alignment vertical="center"/>
      <protection hidden="1"/>
    </xf>
    <xf numFmtId="11" fontId="3" fillId="7" borderId="1" xfId="0" applyNumberFormat="1" applyFont="1" applyFill="1" applyBorder="1" applyAlignment="1" applyProtection="1">
      <alignment horizontal="right" vertical="center"/>
      <protection hidden="1"/>
    </xf>
    <xf numFmtId="11" fontId="3" fillId="3" borderId="1" xfId="0" applyNumberFormat="1" applyFont="1" applyFill="1" applyBorder="1" applyProtection="1">
      <protection hidden="1"/>
    </xf>
    <xf numFmtId="179" fontId="3" fillId="10" borderId="1" xfId="0" applyNumberFormat="1" applyFont="1" applyFill="1" applyBorder="1" applyAlignment="1" applyProtection="1">
      <alignment vertical="center"/>
      <protection hidden="1"/>
    </xf>
    <xf numFmtId="0" fontId="3" fillId="7" borderId="28" xfId="0" applyFont="1" applyFill="1" applyBorder="1" applyAlignment="1" applyProtection="1">
      <alignment horizontal="center" vertical="center"/>
      <protection hidden="1"/>
    </xf>
    <xf numFmtId="172" fontId="3" fillId="7" borderId="28" xfId="0" applyNumberFormat="1" applyFont="1" applyFill="1" applyBorder="1" applyAlignment="1" applyProtection="1">
      <alignment horizontal="center" vertical="center"/>
      <protection hidden="1"/>
    </xf>
    <xf numFmtId="11" fontId="3" fillId="7" borderId="28" xfId="0" applyNumberFormat="1" applyFont="1" applyFill="1" applyBorder="1" applyAlignment="1" applyProtection="1">
      <alignment horizontal="center" vertical="center"/>
      <protection hidden="1"/>
    </xf>
    <xf numFmtId="174" fontId="3" fillId="7" borderId="28" xfId="0" applyNumberFormat="1" applyFont="1" applyFill="1" applyBorder="1" applyAlignment="1" applyProtection="1">
      <alignment horizontal="center" vertical="center"/>
      <protection hidden="1"/>
    </xf>
    <xf numFmtId="164" fontId="3" fillId="7" borderId="28" xfId="0" applyNumberFormat="1" applyFont="1" applyFill="1" applyBorder="1" applyAlignment="1" applyProtection="1">
      <alignment horizontal="center" vertical="center"/>
      <protection hidden="1"/>
    </xf>
    <xf numFmtId="165" fontId="3" fillId="7" borderId="28" xfId="0" applyNumberFormat="1" applyFont="1" applyFill="1" applyBorder="1" applyAlignment="1" applyProtection="1">
      <alignment horizontal="center" vertical="center"/>
      <protection hidden="1"/>
    </xf>
    <xf numFmtId="0" fontId="3" fillId="11" borderId="1" xfId="0" applyNumberFormat="1" applyFont="1" applyFill="1" applyBorder="1" applyAlignment="1" applyProtection="1">
      <alignment horizontal="center" vertical="center"/>
      <protection hidden="1"/>
    </xf>
    <xf numFmtId="172" fontId="3" fillId="11" borderId="1" xfId="0" applyNumberFormat="1" applyFont="1" applyFill="1" applyBorder="1" applyAlignment="1" applyProtection="1">
      <alignment horizontal="center" vertical="center"/>
      <protection hidden="1"/>
    </xf>
    <xf numFmtId="11" fontId="3" fillId="11" borderId="1" xfId="0" applyNumberFormat="1" applyFont="1" applyFill="1" applyBorder="1" applyAlignment="1" applyProtection="1">
      <alignment horizontal="center" vertical="center"/>
      <protection hidden="1"/>
    </xf>
    <xf numFmtId="174" fontId="3" fillId="11" borderId="1" xfId="0" applyNumberFormat="1" applyFont="1" applyFill="1" applyBorder="1" applyAlignment="1" applyProtection="1">
      <alignment horizontal="center" vertical="center"/>
      <protection hidden="1"/>
    </xf>
    <xf numFmtId="164" fontId="3" fillId="11" borderId="1" xfId="0" applyNumberFormat="1" applyFont="1" applyFill="1" applyBorder="1" applyAlignment="1" applyProtection="1">
      <alignment horizontal="center" vertical="center"/>
      <protection hidden="1"/>
    </xf>
    <xf numFmtId="165" fontId="3" fillId="11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3" xfId="0" applyNumberFormat="1" applyFont="1" applyFill="1" applyBorder="1" applyAlignment="1" applyProtection="1">
      <alignment horizontal="center" vertical="center"/>
      <protection locked="0" hidden="1"/>
    </xf>
    <xf numFmtId="172" fontId="3" fillId="10" borderId="3" xfId="0" applyNumberFormat="1" applyFont="1" applyFill="1" applyBorder="1" applyAlignment="1" applyProtection="1">
      <alignment horizontal="center" vertical="center"/>
      <protection hidden="1"/>
    </xf>
    <xf numFmtId="11" fontId="3" fillId="3" borderId="3" xfId="0" applyNumberFormat="1" applyFont="1" applyFill="1" applyBorder="1" applyAlignment="1" applyProtection="1">
      <alignment horizontal="center" vertical="center"/>
      <protection hidden="1"/>
    </xf>
    <xf numFmtId="174" fontId="3" fillId="3" borderId="3" xfId="0" applyNumberFormat="1" applyFont="1" applyFill="1" applyBorder="1" applyAlignment="1" applyProtection="1">
      <alignment horizontal="center" vertical="center"/>
      <protection hidden="1"/>
    </xf>
    <xf numFmtId="164" fontId="3" fillId="3" borderId="3" xfId="0" applyNumberFormat="1" applyFont="1" applyFill="1" applyBorder="1" applyAlignment="1" applyProtection="1">
      <alignment horizontal="center" vertical="center"/>
      <protection hidden="1"/>
    </xf>
    <xf numFmtId="165" fontId="3" fillId="3" borderId="3" xfId="0" applyNumberFormat="1" applyFont="1" applyFill="1" applyBorder="1" applyAlignment="1" applyProtection="1">
      <alignment horizontal="center" vertical="center"/>
      <protection hidden="1"/>
    </xf>
    <xf numFmtId="0" fontId="3" fillId="5" borderId="1" xfId="0" applyNumberFormat="1" applyFont="1" applyFill="1" applyBorder="1" applyAlignment="1" applyProtection="1">
      <alignment horizontal="center" vertical="center"/>
      <protection locked="0" hidden="1"/>
    </xf>
    <xf numFmtId="172" fontId="3" fillId="10" borderId="1" xfId="0" applyNumberFormat="1" applyFont="1" applyFill="1" applyBorder="1" applyAlignment="1" applyProtection="1">
      <alignment horizontal="center" vertical="center"/>
      <protection hidden="1"/>
    </xf>
    <xf numFmtId="11" fontId="3" fillId="3" borderId="1" xfId="0" applyNumberFormat="1" applyFont="1" applyFill="1" applyBorder="1" applyAlignment="1" applyProtection="1">
      <alignment horizontal="center" vertical="center"/>
      <protection hidden="1"/>
    </xf>
    <xf numFmtId="17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3" borderId="1" xfId="0" applyNumberFormat="1" applyFont="1" applyFill="1" applyBorder="1" applyAlignment="1" applyProtection="1">
      <alignment horizontal="center" vertical="center"/>
      <protection hidden="1"/>
    </xf>
    <xf numFmtId="165" fontId="3" fillId="3" borderId="1" xfId="0" applyNumberFormat="1" applyFont="1" applyFill="1" applyBorder="1" applyAlignment="1" applyProtection="1">
      <alignment horizontal="center" vertical="center"/>
      <protection hidden="1"/>
    </xf>
    <xf numFmtId="169" fontId="3" fillId="10" borderId="1" xfId="0" applyNumberFormat="1" applyFont="1" applyFill="1" applyBorder="1" applyAlignment="1" applyProtection="1">
      <alignment vertical="center"/>
      <protection hidden="1"/>
    </xf>
    <xf numFmtId="170" fontId="3" fillId="10" borderId="1" xfId="0" applyNumberFormat="1" applyFont="1" applyFill="1" applyBorder="1" applyAlignment="1" applyProtection="1">
      <alignment vertical="center"/>
      <protection hidden="1"/>
    </xf>
    <xf numFmtId="11" fontId="3" fillId="11" borderId="1" xfId="0" applyNumberFormat="1" applyFont="1" applyFill="1" applyBorder="1" applyAlignment="1" applyProtection="1">
      <alignment vertical="center"/>
      <protection hidden="1"/>
    </xf>
    <xf numFmtId="2" fontId="3" fillId="11" borderId="1" xfId="0" applyNumberFormat="1" applyFont="1" applyFill="1" applyBorder="1" applyAlignment="1" applyProtection="1">
      <alignment vertical="center"/>
      <protection hidden="1"/>
    </xf>
    <xf numFmtId="183" fontId="3" fillId="3" borderId="1" xfId="0" applyNumberFormat="1" applyFont="1" applyFill="1" applyBorder="1" applyAlignment="1" applyProtection="1">
      <alignment vertical="center"/>
      <protection hidden="1"/>
    </xf>
    <xf numFmtId="175" fontId="3" fillId="3" borderId="1" xfId="0" applyNumberFormat="1" applyFont="1" applyFill="1" applyBorder="1" applyAlignment="1" applyProtection="1">
      <alignment vertical="center"/>
      <protection hidden="1"/>
    </xf>
    <xf numFmtId="172" fontId="3" fillId="11" borderId="1" xfId="0" applyNumberFormat="1" applyFont="1" applyFill="1" applyBorder="1" applyAlignment="1" applyProtection="1">
      <alignment vertical="center"/>
      <protection hidden="1"/>
    </xf>
    <xf numFmtId="172" fontId="3" fillId="11" borderId="1" xfId="0" applyNumberFormat="1" applyFont="1" applyFill="1" applyBorder="1" applyProtection="1">
      <protection hidden="1"/>
    </xf>
    <xf numFmtId="170" fontId="3" fillId="3" borderId="1" xfId="0" applyNumberFormat="1" applyFont="1" applyFill="1" applyBorder="1" applyAlignment="1" applyProtection="1">
      <alignment vertical="center"/>
      <protection hidden="1"/>
    </xf>
    <xf numFmtId="0" fontId="207" fillId="0" borderId="0" xfId="0" applyFont="1" applyProtection="1">
      <protection locked="0"/>
    </xf>
    <xf numFmtId="0" fontId="208" fillId="0" borderId="0" xfId="1" applyFont="1" applyAlignment="1" applyProtection="1">
      <protection locked="0"/>
    </xf>
    <xf numFmtId="0" fontId="209" fillId="0" borderId="0" xfId="0" applyFont="1" applyProtection="1">
      <protection locked="0"/>
    </xf>
    <xf numFmtId="0" fontId="210" fillId="0" borderId="0" xfId="1" applyFont="1" applyAlignment="1" applyProtection="1">
      <protection locked="0"/>
    </xf>
    <xf numFmtId="0" fontId="136" fillId="9" borderId="0" xfId="0" applyFont="1" applyFill="1" applyBorder="1" applyAlignment="1">
      <alignment horizontal="center"/>
    </xf>
    <xf numFmtId="0" fontId="208" fillId="0" borderId="0" xfId="1" applyFont="1" applyAlignment="1" applyProtection="1">
      <alignment horizontal="center" vertical="center"/>
    </xf>
    <xf numFmtId="0" fontId="208" fillId="9" borderId="0" xfId="1" applyFont="1" applyFill="1" applyAlignment="1" applyProtection="1">
      <alignment horizontal="center" vertical="top"/>
    </xf>
    <xf numFmtId="0" fontId="211" fillId="0" borderId="0" xfId="1" applyFont="1" applyAlignment="1" applyProtection="1">
      <protection locked="0"/>
    </xf>
    <xf numFmtId="0" fontId="209" fillId="0" borderId="0" xfId="0" applyFont="1" applyAlignment="1" applyProtection="1">
      <alignment vertical="center"/>
      <protection locked="0"/>
    </xf>
    <xf numFmtId="0" fontId="0" fillId="9" borderId="0" xfId="0" applyFont="1" applyFill="1"/>
    <xf numFmtId="0" fontId="12" fillId="9" borderId="0" xfId="0" applyFont="1" applyFill="1" applyBorder="1" applyAlignment="1" applyProtection="1">
      <alignment horizontal="left" vertical="top"/>
    </xf>
    <xf numFmtId="0" fontId="0" fillId="9" borderId="6" xfId="0" applyFill="1" applyBorder="1" applyAlignment="1" applyProtection="1">
      <alignment vertical="top"/>
    </xf>
    <xf numFmtId="0" fontId="208" fillId="9" borderId="0" xfId="1" applyFont="1" applyFill="1" applyAlignment="1" applyProtection="1">
      <protection locked="0"/>
    </xf>
    <xf numFmtId="0" fontId="208" fillId="0" borderId="0" xfId="1" applyFont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vertical="center"/>
    </xf>
    <xf numFmtId="0" fontId="202" fillId="9" borderId="0" xfId="0" applyFont="1" applyFill="1" applyBorder="1" applyAlignment="1" applyProtection="1">
      <alignment horizontal="right"/>
    </xf>
    <xf numFmtId="0" fontId="0" fillId="9" borderId="5" xfId="0" applyFill="1" applyBorder="1" applyProtection="1"/>
    <xf numFmtId="0" fontId="0" fillId="9" borderId="8" xfId="0" applyFill="1" applyBorder="1" applyProtection="1"/>
    <xf numFmtId="0" fontId="209" fillId="9" borderId="0" xfId="0" applyFont="1" applyFill="1" applyAlignment="1" applyProtection="1">
      <alignment horizontal="center"/>
    </xf>
    <xf numFmtId="0" fontId="0" fillId="9" borderId="0" xfId="0" applyFont="1" applyFill="1" applyProtection="1"/>
    <xf numFmtId="0" fontId="5" fillId="9" borderId="0" xfId="0" applyFont="1" applyFill="1" applyAlignment="1" applyProtection="1">
      <alignment horizontal="left"/>
    </xf>
    <xf numFmtId="0" fontId="5" fillId="9" borderId="0" xfId="0" applyFont="1" applyFill="1" applyAlignment="1" applyProtection="1">
      <alignment horizontal="right"/>
    </xf>
    <xf numFmtId="0" fontId="134" fillId="9" borderId="8" xfId="0" applyFont="1" applyFill="1" applyBorder="1" applyProtection="1"/>
    <xf numFmtId="0" fontId="0" fillId="9" borderId="0" xfId="0" applyFill="1" applyProtection="1"/>
    <xf numFmtId="0" fontId="0" fillId="9" borderId="8" xfId="0" applyFill="1" applyBorder="1" applyAlignment="1" applyProtection="1"/>
    <xf numFmtId="0" fontId="3" fillId="9" borderId="9" xfId="0" applyFont="1" applyFill="1" applyBorder="1" applyProtection="1"/>
    <xf numFmtId="0" fontId="208" fillId="9" borderId="0" xfId="1" applyFont="1" applyFill="1" applyAlignment="1" applyProtection="1"/>
    <xf numFmtId="0" fontId="21" fillId="9" borderId="11" xfId="0" applyFont="1" applyFill="1" applyBorder="1" applyAlignment="1" applyProtection="1">
      <alignment horizontal="center" vertical="top"/>
    </xf>
    <xf numFmtId="0" fontId="9" fillId="9" borderId="0" xfId="0" applyFont="1" applyFill="1" applyBorder="1" applyAlignment="1" applyProtection="1">
      <alignment horizontal="center" vertical="top"/>
    </xf>
    <xf numFmtId="0" fontId="9" fillId="9" borderId="0" xfId="0" applyFont="1" applyFill="1" applyBorder="1" applyAlignment="1" applyProtection="1">
      <alignment horizontal="left" vertical="top"/>
    </xf>
    <xf numFmtId="0" fontId="20" fillId="9" borderId="0" xfId="0" applyFont="1" applyFill="1" applyBorder="1" applyAlignment="1" applyProtection="1">
      <alignment horizontal="left" vertical="center"/>
    </xf>
    <xf numFmtId="0" fontId="8" fillId="9" borderId="0" xfId="0" applyFont="1" applyFill="1" applyBorder="1" applyAlignment="1" applyProtection="1"/>
    <xf numFmtId="0" fontId="8" fillId="9" borderId="0" xfId="0" applyFont="1" applyFill="1" applyBorder="1" applyAlignment="1" applyProtection="1">
      <alignment vertical="top"/>
    </xf>
    <xf numFmtId="0" fontId="9" fillId="9" borderId="0" xfId="0" applyFont="1" applyFill="1" applyBorder="1" applyAlignment="1" applyProtection="1">
      <alignment horizontal="right" vertical="top"/>
    </xf>
    <xf numFmtId="169" fontId="3" fillId="12" borderId="1" xfId="0" applyNumberFormat="1" applyFont="1" applyFill="1" applyBorder="1" applyAlignment="1">
      <alignment vertical="center"/>
    </xf>
    <xf numFmtId="0" fontId="50" fillId="4" borderId="13" xfId="0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vertical="center"/>
    </xf>
    <xf numFmtId="172" fontId="2" fillId="4" borderId="2" xfId="0" applyNumberFormat="1" applyFont="1" applyFill="1" applyBorder="1"/>
    <xf numFmtId="172" fontId="2" fillId="4" borderId="4" xfId="0" applyNumberFormat="1" applyFont="1" applyFill="1" applyBorder="1"/>
    <xf numFmtId="172" fontId="2" fillId="4" borderId="3" xfId="0" applyNumberFormat="1" applyFont="1" applyFill="1" applyBorder="1"/>
    <xf numFmtId="0" fontId="3" fillId="4" borderId="5" xfId="0" applyFont="1" applyFill="1" applyBorder="1" applyAlignment="1">
      <alignment horizontal="right"/>
    </xf>
    <xf numFmtId="172" fontId="2" fillId="4" borderId="7" xfId="0" applyNumberFormat="1" applyFont="1" applyFill="1" applyBorder="1"/>
    <xf numFmtId="0" fontId="3" fillId="4" borderId="8" xfId="0" applyFont="1" applyFill="1" applyBorder="1" applyAlignment="1">
      <alignment horizontal="right"/>
    </xf>
    <xf numFmtId="172" fontId="2" fillId="4" borderId="9" xfId="0" applyNumberFormat="1" applyFont="1" applyFill="1" applyBorder="1"/>
    <xf numFmtId="0" fontId="3" fillId="4" borderId="10" xfId="0" applyFont="1" applyFill="1" applyBorder="1" applyAlignment="1">
      <alignment horizontal="right"/>
    </xf>
    <xf numFmtId="172" fontId="2" fillId="4" borderId="12" xfId="0" applyNumberFormat="1" applyFont="1" applyFill="1" applyBorder="1"/>
    <xf numFmtId="172" fontId="3" fillId="4" borderId="1" xfId="0" applyNumberFormat="1" applyFont="1" applyFill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2" fillId="4" borderId="2" xfId="0" applyNumberFormat="1" applyFont="1" applyFill="1" applyBorder="1"/>
    <xf numFmtId="2" fontId="2" fillId="4" borderId="3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2" fillId="4" borderId="2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207" fillId="0" borderId="0" xfId="0" applyFont="1" applyAlignment="1" applyProtection="1">
      <alignment vertical="center"/>
      <protection locked="0"/>
    </xf>
    <xf numFmtId="0" fontId="211" fillId="0" borderId="0" xfId="1" applyFont="1" applyAlignment="1" applyProtection="1">
      <alignment vertical="center"/>
      <protection locked="0"/>
    </xf>
    <xf numFmtId="0" fontId="54" fillId="9" borderId="0" xfId="0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24" fillId="0" borderId="0" xfId="1" applyFont="1" applyAlignment="1" applyProtection="1">
      <alignment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79" fontId="3" fillId="9" borderId="6" xfId="0" applyNumberFormat="1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179" fontId="3" fillId="9" borderId="38" xfId="0" applyNumberFormat="1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170" fontId="3" fillId="9" borderId="6" xfId="0" applyNumberFormat="1" applyFont="1" applyFill="1" applyBorder="1" applyAlignment="1">
      <alignment horizontal="center" vertical="center"/>
    </xf>
    <xf numFmtId="0" fontId="9" fillId="9" borderId="38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174" fontId="29" fillId="7" borderId="1" xfId="0" applyNumberFormat="1" applyFont="1" applyFill="1" applyBorder="1" applyAlignment="1" applyProtection="1">
      <alignment horizontal="center" vertical="center"/>
      <protection hidden="1"/>
    </xf>
    <xf numFmtId="0" fontId="29" fillId="9" borderId="6" xfId="0" applyFont="1" applyFill="1" applyBorder="1" applyAlignment="1">
      <alignment horizontal="center" vertical="center"/>
    </xf>
    <xf numFmtId="179" fontId="29" fillId="7" borderId="3" xfId="0" applyNumberFormat="1" applyFont="1" applyFill="1" applyBorder="1" applyAlignment="1" applyProtection="1">
      <alignment horizontal="center" vertical="center"/>
      <protection hidden="1"/>
    </xf>
    <xf numFmtId="0" fontId="29" fillId="9" borderId="9" xfId="0" applyFont="1" applyFill="1" applyBorder="1" applyAlignment="1">
      <alignment horizontal="center" vertical="center"/>
    </xf>
    <xf numFmtId="0" fontId="29" fillId="9" borderId="38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/>
    </xf>
    <xf numFmtId="0" fontId="29" fillId="8" borderId="45" xfId="0" applyFont="1" applyFill="1" applyBorder="1" applyAlignment="1">
      <alignment horizontal="center" vertical="center"/>
    </xf>
    <xf numFmtId="0" fontId="126" fillId="0" borderId="0" xfId="0" applyFont="1" applyFill="1" applyAlignment="1">
      <alignment vertical="center"/>
    </xf>
    <xf numFmtId="0" fontId="126" fillId="0" borderId="0" xfId="0" applyFont="1" applyFill="1" applyAlignment="1">
      <alignment vertical="center" wrapText="1"/>
    </xf>
    <xf numFmtId="0" fontId="124" fillId="0" borderId="0" xfId="1" applyFont="1" applyFill="1" applyAlignment="1" applyProtection="1">
      <alignment vertical="center"/>
    </xf>
    <xf numFmtId="0" fontId="122" fillId="0" borderId="0" xfId="0" applyFont="1" applyFill="1" applyAlignment="1">
      <alignment vertical="center"/>
    </xf>
    <xf numFmtId="0" fontId="122" fillId="0" borderId="0" xfId="0" applyFont="1" applyFill="1" applyBorder="1" applyAlignment="1">
      <alignment vertical="center"/>
    </xf>
    <xf numFmtId="0" fontId="122" fillId="0" borderId="0" xfId="0" applyFont="1" applyFill="1"/>
    <xf numFmtId="0" fontId="29" fillId="8" borderId="17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top"/>
    </xf>
    <xf numFmtId="0" fontId="29" fillId="8" borderId="12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36" fillId="9" borderId="38" xfId="0" applyFont="1" applyFill="1" applyBorder="1" applyAlignment="1">
      <alignment horizontal="center" vertical="center"/>
    </xf>
    <xf numFmtId="0" fontId="29" fillId="8" borderId="39" xfId="0" applyFont="1" applyFill="1" applyBorder="1" applyAlignment="1">
      <alignment horizontal="center" vertical="top"/>
    </xf>
    <xf numFmtId="0" fontId="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9" fontId="3" fillId="7" borderId="11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79" fontId="29" fillId="7" borderId="0" xfId="0" applyNumberFormat="1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179" fontId="29" fillId="7" borderId="38" xfId="0" applyNumberFormat="1" applyFont="1" applyFill="1" applyBorder="1" applyAlignment="1">
      <alignment horizontal="center" vertical="center"/>
    </xf>
    <xf numFmtId="0" fontId="29" fillId="7" borderId="39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6" fillId="8" borderId="49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vertical="center"/>
    </xf>
    <xf numFmtId="0" fontId="3" fillId="9" borderId="50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vertical="center"/>
    </xf>
    <xf numFmtId="0" fontId="3" fillId="9" borderId="52" xfId="0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vertical="center"/>
    </xf>
    <xf numFmtId="0" fontId="213" fillId="9" borderId="52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vertical="center"/>
    </xf>
    <xf numFmtId="0" fontId="36" fillId="8" borderId="55" xfId="0" applyFont="1" applyFill="1" applyBorder="1" applyAlignment="1">
      <alignment horizontal="center" vertical="center"/>
    </xf>
    <xf numFmtId="0" fontId="36" fillId="8" borderId="56" xfId="0" applyFont="1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36" fillId="8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155" fillId="9" borderId="47" xfId="1" applyFont="1" applyFill="1" applyBorder="1" applyAlignment="1" applyProtection="1">
      <alignment horizontal="center" vertical="top"/>
    </xf>
    <xf numFmtId="0" fontId="36" fillId="8" borderId="25" xfId="0" applyFont="1" applyFill="1" applyBorder="1" applyAlignment="1">
      <alignment horizontal="center" vertical="center"/>
    </xf>
    <xf numFmtId="179" fontId="3" fillId="9" borderId="59" xfId="0" applyNumberFormat="1" applyFont="1" applyFill="1" applyBorder="1" applyAlignment="1">
      <alignment horizontal="center" vertical="center"/>
    </xf>
    <xf numFmtId="0" fontId="3" fillId="7" borderId="62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vertical="center"/>
    </xf>
    <xf numFmtId="0" fontId="29" fillId="7" borderId="33" xfId="0" applyFont="1" applyFill="1" applyBorder="1" applyAlignment="1">
      <alignment horizontal="center" vertical="center"/>
    </xf>
    <xf numFmtId="0" fontId="29" fillId="9" borderId="39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9" fillId="7" borderId="12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36" fillId="7" borderId="11" xfId="0" applyFont="1" applyFill="1" applyBorder="1" applyAlignment="1">
      <alignment horizontal="center" vertical="center"/>
    </xf>
    <xf numFmtId="0" fontId="29" fillId="7" borderId="38" xfId="0" applyFont="1" applyFill="1" applyBorder="1" applyAlignment="1">
      <alignment horizontal="center" vertical="center"/>
    </xf>
    <xf numFmtId="0" fontId="36" fillId="7" borderId="0" xfId="0" applyFont="1" applyFill="1" applyBorder="1" applyAlignment="1">
      <alignment horizontal="center" vertical="center"/>
    </xf>
    <xf numFmtId="0" fontId="36" fillId="7" borderId="36" xfId="0" applyFont="1" applyFill="1" applyBorder="1" applyAlignment="1">
      <alignment horizontal="center" vertical="center"/>
    </xf>
    <xf numFmtId="0" fontId="29" fillId="9" borderId="34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36" fillId="8" borderId="64" xfId="0" applyFont="1" applyFill="1" applyBorder="1" applyAlignment="1">
      <alignment horizontal="center" vertical="center"/>
    </xf>
    <xf numFmtId="0" fontId="29" fillId="8" borderId="3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36" fillId="7" borderId="4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7" borderId="35" xfId="0" applyFont="1" applyFill="1" applyBorder="1" applyAlignment="1">
      <alignment horizontal="center" vertical="center"/>
    </xf>
    <xf numFmtId="179" fontId="29" fillId="7" borderId="33" xfId="0" applyNumberFormat="1" applyFont="1" applyFill="1" applyBorder="1" applyAlignment="1" applyProtection="1">
      <alignment horizontal="center" vertical="center"/>
      <protection hidden="1"/>
    </xf>
    <xf numFmtId="174" fontId="29" fillId="7" borderId="33" xfId="0" applyNumberFormat="1" applyFont="1" applyFill="1" applyBorder="1" applyAlignment="1" applyProtection="1">
      <alignment horizontal="center" vertical="center"/>
      <protection hidden="1"/>
    </xf>
    <xf numFmtId="0" fontId="36" fillId="8" borderId="2" xfId="0" applyFont="1" applyFill="1" applyBorder="1" applyAlignment="1">
      <alignment horizontal="center" vertical="center"/>
    </xf>
    <xf numFmtId="0" fontId="36" fillId="9" borderId="52" xfId="0" applyFont="1" applyFill="1" applyBorder="1" applyAlignment="1">
      <alignment horizontal="center" vertical="center"/>
    </xf>
    <xf numFmtId="0" fontId="29" fillId="9" borderId="52" xfId="0" applyFont="1" applyFill="1" applyBorder="1" applyAlignment="1">
      <alignment horizontal="center" vertical="center"/>
    </xf>
    <xf numFmtId="0" fontId="0" fillId="9" borderId="51" xfId="0" applyFill="1" applyBorder="1" applyAlignment="1">
      <alignment vertical="center"/>
    </xf>
    <xf numFmtId="0" fontId="29" fillId="9" borderId="53" xfId="0" applyFont="1" applyFill="1" applyBorder="1" applyAlignment="1">
      <alignment horizontal="center" vertical="center"/>
    </xf>
    <xf numFmtId="0" fontId="0" fillId="9" borderId="65" xfId="0" applyFill="1" applyBorder="1" applyAlignment="1">
      <alignment vertical="center"/>
    </xf>
    <xf numFmtId="0" fontId="3" fillId="9" borderId="65" xfId="0" applyFont="1" applyFill="1" applyBorder="1" applyAlignment="1">
      <alignment vertical="center"/>
    </xf>
    <xf numFmtId="0" fontId="36" fillId="8" borderId="53" xfId="0" applyFont="1" applyFill="1" applyBorder="1" applyAlignment="1">
      <alignment horizontal="center" vertical="center"/>
    </xf>
    <xf numFmtId="0" fontId="36" fillId="8" borderId="66" xfId="0" applyFont="1" applyFill="1" applyBorder="1" applyAlignment="1">
      <alignment horizontal="center" vertical="center"/>
    </xf>
    <xf numFmtId="0" fontId="36" fillId="8" borderId="49" xfId="0" applyFont="1" applyFill="1" applyBorder="1" applyAlignment="1">
      <alignment horizontal="center" vertical="top"/>
    </xf>
    <xf numFmtId="0" fontId="36" fillId="8" borderId="52" xfId="0" applyFont="1" applyFill="1" applyBorder="1" applyAlignment="1">
      <alignment horizontal="center" vertical="center"/>
    </xf>
    <xf numFmtId="0" fontId="22" fillId="9" borderId="67" xfId="0" applyFont="1" applyFill="1" applyBorder="1" applyAlignment="1">
      <alignment horizontal="center" vertical="center"/>
    </xf>
    <xf numFmtId="0" fontId="29" fillId="9" borderId="55" xfId="0" applyFont="1" applyFill="1" applyBorder="1" applyAlignment="1">
      <alignment horizontal="center" vertical="center"/>
    </xf>
    <xf numFmtId="0" fontId="29" fillId="9" borderId="25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52" xfId="0" applyFont="1" applyFill="1" applyBorder="1" applyAlignment="1">
      <alignment horizontal="center" vertical="center"/>
    </xf>
    <xf numFmtId="0" fontId="29" fillId="9" borderId="69" xfId="0" applyFont="1" applyFill="1" applyBorder="1" applyAlignment="1">
      <alignment horizontal="center" vertical="center"/>
    </xf>
    <xf numFmtId="0" fontId="36" fillId="9" borderId="23" xfId="0" applyFont="1" applyFill="1" applyBorder="1" applyAlignment="1">
      <alignment horizontal="center" vertical="center"/>
    </xf>
    <xf numFmtId="0" fontId="29" fillId="9" borderId="23" xfId="0" applyFont="1" applyFill="1" applyBorder="1" applyAlignment="1">
      <alignment horizontal="center" vertical="center"/>
    </xf>
    <xf numFmtId="0" fontId="29" fillId="9" borderId="31" xfId="0" applyFont="1" applyFill="1" applyBorder="1" applyAlignment="1">
      <alignment horizontal="center" vertical="center"/>
    </xf>
    <xf numFmtId="0" fontId="36" fillId="8" borderId="66" xfId="0" applyFont="1" applyFill="1" applyBorder="1" applyAlignment="1">
      <alignment horizontal="center"/>
    </xf>
    <xf numFmtId="0" fontId="36" fillId="9" borderId="52" xfId="0" applyFont="1" applyFill="1" applyBorder="1" applyAlignment="1">
      <alignment horizontal="center" vertical="top"/>
    </xf>
    <xf numFmtId="0" fontId="0" fillId="0" borderId="58" xfId="0" applyBorder="1" applyAlignment="1">
      <alignment vertical="center"/>
    </xf>
    <xf numFmtId="0" fontId="36" fillId="9" borderId="65" xfId="0" applyFont="1" applyFill="1" applyBorder="1" applyAlignment="1">
      <alignment horizontal="center" vertical="top"/>
    </xf>
    <xf numFmtId="49" fontId="3" fillId="9" borderId="65" xfId="0" applyNumberFormat="1" applyFont="1" applyFill="1" applyBorder="1" applyAlignment="1">
      <alignment vertical="center"/>
    </xf>
    <xf numFmtId="0" fontId="9" fillId="9" borderId="53" xfId="0" applyFont="1" applyFill="1" applyBorder="1" applyAlignment="1">
      <alignment horizontal="center" vertical="center"/>
    </xf>
    <xf numFmtId="0" fontId="36" fillId="8" borderId="52" xfId="0" applyFont="1" applyFill="1" applyBorder="1" applyAlignment="1">
      <alignment horizontal="center" vertical="center" wrapText="1"/>
    </xf>
    <xf numFmtId="0" fontId="29" fillId="9" borderId="50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" fillId="9" borderId="69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vertical="center"/>
    </xf>
    <xf numFmtId="0" fontId="3" fillId="9" borderId="31" xfId="0" applyFont="1" applyFill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top"/>
    </xf>
    <xf numFmtId="0" fontId="18" fillId="9" borderId="0" xfId="0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0" fontId="0" fillId="9" borderId="70" xfId="0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0" fillId="9" borderId="17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right" vertical="center"/>
    </xf>
    <xf numFmtId="179" fontId="3" fillId="9" borderId="52" xfId="0" applyNumberFormat="1" applyFont="1" applyFill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54" xfId="0" applyFont="1" applyFill="1" applyBorder="1" applyAlignment="1"/>
    <xf numFmtId="0" fontId="2" fillId="9" borderId="51" xfId="0" applyFont="1" applyFill="1" applyBorder="1" applyAlignment="1">
      <alignment horizontal="right" vertical="center"/>
    </xf>
    <xf numFmtId="174" fontId="36" fillId="7" borderId="3" xfId="0" applyNumberFormat="1" applyFont="1" applyFill="1" applyBorder="1" applyAlignment="1" applyProtection="1">
      <alignment horizontal="center" vertical="center"/>
      <protection hidden="1"/>
    </xf>
    <xf numFmtId="179" fontId="36" fillId="2" borderId="3" xfId="0" applyNumberFormat="1" applyFont="1" applyFill="1" applyBorder="1" applyAlignment="1">
      <alignment horizontal="center" vertical="center"/>
    </xf>
    <xf numFmtId="174" fontId="6" fillId="2" borderId="43" xfId="0" applyNumberFormat="1" applyFont="1" applyFill="1" applyBorder="1" applyAlignment="1">
      <alignment horizontal="center" vertical="center"/>
    </xf>
    <xf numFmtId="179" fontId="36" fillId="7" borderId="40" xfId="0" applyNumberFormat="1" applyFont="1" applyFill="1" applyBorder="1" applyAlignment="1" applyProtection="1">
      <alignment horizontal="center" vertical="center"/>
      <protection hidden="1"/>
    </xf>
    <xf numFmtId="179" fontId="36" fillId="2" borderId="40" xfId="0" applyNumberFormat="1" applyFont="1" applyFill="1" applyBorder="1" applyAlignment="1">
      <alignment horizontal="center" vertical="center"/>
    </xf>
    <xf numFmtId="179" fontId="36" fillId="7" borderId="37" xfId="0" applyNumberFormat="1" applyFont="1" applyFill="1" applyBorder="1" applyAlignment="1" applyProtection="1">
      <alignment horizontal="center" vertical="center"/>
      <protection hidden="1"/>
    </xf>
    <xf numFmtId="179" fontId="36" fillId="7" borderId="4" xfId="0" applyNumberFormat="1" applyFont="1" applyFill="1" applyBorder="1" applyAlignment="1" applyProtection="1">
      <alignment horizontal="center" vertical="center"/>
      <protection hidden="1"/>
    </xf>
    <xf numFmtId="179" fontId="36" fillId="7" borderId="3" xfId="0" applyNumberFormat="1" applyFont="1" applyFill="1" applyBorder="1" applyAlignment="1" applyProtection="1">
      <alignment horizontal="center" vertical="center"/>
      <protection hidden="1"/>
    </xf>
    <xf numFmtId="179" fontId="36" fillId="7" borderId="37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124" fillId="9" borderId="38" xfId="1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8" borderId="38" xfId="0" applyFon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7" borderId="6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/>
    </xf>
    <xf numFmtId="0" fontId="0" fillId="7" borderId="29" xfId="0" applyFont="1" applyFill="1" applyBorder="1" applyAlignment="1">
      <alignment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1" fontId="36" fillId="2" borderId="71" xfId="0" applyNumberFormat="1" applyFont="1" applyFill="1" applyBorder="1" applyAlignment="1">
      <alignment horizontal="center" vertical="center"/>
    </xf>
    <xf numFmtId="164" fontId="36" fillId="2" borderId="40" xfId="0" applyNumberFormat="1" applyFont="1" applyFill="1" applyBorder="1" applyAlignment="1">
      <alignment horizontal="center" vertical="center"/>
    </xf>
    <xf numFmtId="179" fontId="36" fillId="2" borderId="40" xfId="0" applyNumberFormat="1" applyFont="1" applyFill="1" applyBorder="1" applyAlignment="1">
      <alignment horizontal="center" vertical="center" wrapText="1"/>
    </xf>
    <xf numFmtId="172" fontId="3" fillId="5" borderId="1" xfId="0" applyNumberFormat="1" applyFont="1" applyFill="1" applyBorder="1" applyAlignment="1" applyProtection="1">
      <alignment horizontal="right"/>
      <protection locked="0"/>
    </xf>
    <xf numFmtId="0" fontId="3" fillId="9" borderId="47" xfId="0" applyFont="1" applyFill="1" applyBorder="1" applyAlignment="1">
      <alignment vertical="top"/>
    </xf>
    <xf numFmtId="0" fontId="3" fillId="9" borderId="14" xfId="0" applyFont="1" applyFill="1" applyBorder="1" applyAlignment="1">
      <alignment vertical="top"/>
    </xf>
    <xf numFmtId="0" fontId="3" fillId="9" borderId="14" xfId="0" applyFont="1" applyFill="1" applyBorder="1" applyAlignment="1"/>
    <xf numFmtId="0" fontId="214" fillId="9" borderId="8" xfId="0" applyFont="1" applyFill="1" applyBorder="1"/>
    <xf numFmtId="0" fontId="215" fillId="0" borderId="0" xfId="1" applyFont="1" applyAlignment="1" applyProtection="1">
      <alignment horizontal="center"/>
    </xf>
    <xf numFmtId="0" fontId="214" fillId="9" borderId="0" xfId="0" applyFont="1" applyFill="1" applyBorder="1"/>
    <xf numFmtId="165" fontId="6" fillId="7" borderId="1" xfId="0" applyNumberFormat="1" applyFont="1" applyFill="1" applyBorder="1" applyAlignment="1">
      <alignment vertical="center"/>
    </xf>
    <xf numFmtId="2" fontId="6" fillId="7" borderId="1" xfId="0" applyNumberFormat="1" applyFont="1" applyFill="1" applyBorder="1" applyAlignment="1">
      <alignment vertical="center"/>
    </xf>
    <xf numFmtId="0" fontId="3" fillId="9" borderId="73" xfId="0" applyFont="1" applyFill="1" applyBorder="1" applyAlignment="1">
      <alignment horizontal="center"/>
    </xf>
    <xf numFmtId="0" fontId="9" fillId="9" borderId="0" xfId="0" applyFont="1" applyFill="1" applyBorder="1" applyAlignment="1" applyProtection="1">
      <alignment vertical="top"/>
    </xf>
    <xf numFmtId="176" fontId="8" fillId="3" borderId="1" xfId="0" applyNumberFormat="1" applyFont="1" applyFill="1" applyBorder="1" applyAlignment="1" applyProtection="1">
      <alignment vertical="center"/>
      <protection hidden="1"/>
    </xf>
    <xf numFmtId="176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9" borderId="0" xfId="0" applyFont="1" applyFill="1"/>
    <xf numFmtId="0" fontId="36" fillId="9" borderId="0" xfId="0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2" fontId="0" fillId="0" borderId="0" xfId="0" applyNumberFormat="1" applyFill="1" applyBorder="1"/>
    <xf numFmtId="0" fontId="3" fillId="0" borderId="0" xfId="0" applyFont="1" applyFill="1" applyAlignment="1">
      <alignment horizontal="right" vertical="center"/>
    </xf>
    <xf numFmtId="172" fontId="3" fillId="0" borderId="0" xfId="0" applyNumberFormat="1" applyFont="1" applyFill="1" applyAlignment="1">
      <alignment vertical="center"/>
    </xf>
    <xf numFmtId="0" fontId="2" fillId="9" borderId="7" xfId="0" applyFont="1" applyFill="1" applyBorder="1" applyAlignment="1" applyProtection="1">
      <alignment horizontal="right"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10" borderId="2" xfId="0" applyFont="1" applyFill="1" applyBorder="1" applyAlignment="1" applyProtection="1">
      <alignment vertical="center"/>
    </xf>
    <xf numFmtId="0" fontId="3" fillId="10" borderId="1" xfId="0" applyFont="1" applyFill="1" applyBorder="1" applyAlignment="1" applyProtection="1">
      <alignment horizontal="center" vertical="center"/>
    </xf>
    <xf numFmtId="0" fontId="3" fillId="10" borderId="3" xfId="0" applyFont="1" applyFill="1" applyBorder="1" applyAlignment="1" applyProtection="1">
      <alignment vertical="center"/>
    </xf>
    <xf numFmtId="165" fontId="3" fillId="10" borderId="1" xfId="0" applyNumberFormat="1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vertical="center"/>
    </xf>
    <xf numFmtId="0" fontId="3" fillId="6" borderId="2" xfId="0" applyFont="1" applyFill="1" applyBorder="1" applyAlignment="1" applyProtection="1">
      <alignment vertical="center"/>
    </xf>
    <xf numFmtId="172" fontId="3" fillId="3" borderId="1" xfId="0" applyNumberFormat="1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169" fontId="3" fillId="3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vertical="center"/>
    </xf>
    <xf numFmtId="184" fontId="8" fillId="6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/>
    </xf>
    <xf numFmtId="0" fontId="3" fillId="0" borderId="12" xfId="0" applyFont="1" applyBorder="1" applyAlignment="1" applyProtection="1">
      <alignment vertical="center"/>
    </xf>
    <xf numFmtId="0" fontId="0" fillId="0" borderId="0" xfId="0" applyProtection="1">
      <protection hidden="1"/>
    </xf>
    <xf numFmtId="0" fontId="8" fillId="9" borderId="5" xfId="0" applyFont="1" applyFill="1" applyBorder="1" applyAlignment="1" applyProtection="1">
      <alignment vertical="center"/>
    </xf>
    <xf numFmtId="0" fontId="7" fillId="9" borderId="6" xfId="0" applyFont="1" applyFill="1" applyBorder="1" applyAlignment="1" applyProtection="1">
      <alignment horizontal="right" vertical="center"/>
    </xf>
    <xf numFmtId="0" fontId="8" fillId="9" borderId="6" xfId="0" applyFont="1" applyFill="1" applyBorder="1" applyAlignment="1" applyProtection="1">
      <alignment horizontal="left" vertical="center"/>
    </xf>
    <xf numFmtId="0" fontId="8" fillId="9" borderId="8" xfId="0" applyFont="1" applyFill="1" applyBorder="1" applyAlignment="1" applyProtection="1">
      <alignment vertical="center"/>
    </xf>
    <xf numFmtId="0" fontId="36" fillId="9" borderId="0" xfId="0" applyFont="1" applyFill="1" applyBorder="1" applyAlignment="1" applyProtection="1">
      <alignment vertical="center"/>
    </xf>
    <xf numFmtId="0" fontId="29" fillId="9" borderId="0" xfId="0" applyFont="1" applyFill="1" applyBorder="1" applyAlignment="1" applyProtection="1">
      <alignment vertical="center"/>
    </xf>
    <xf numFmtId="0" fontId="29" fillId="9" borderId="0" xfId="0" applyFont="1" applyFill="1" applyBorder="1" applyProtection="1"/>
    <xf numFmtId="0" fontId="29" fillId="9" borderId="0" xfId="0" applyFont="1" applyFill="1" applyBorder="1" applyAlignment="1" applyProtection="1">
      <alignment horizontal="right" vertical="center"/>
    </xf>
    <xf numFmtId="0" fontId="3" fillId="9" borderId="8" xfId="0" applyFont="1" applyFill="1" applyBorder="1" applyAlignment="1" applyProtection="1">
      <alignment vertical="center"/>
    </xf>
    <xf numFmtId="0" fontId="3" fillId="9" borderId="8" xfId="0" applyFont="1" applyFill="1" applyBorder="1" applyProtection="1"/>
    <xf numFmtId="0" fontId="36" fillId="9" borderId="0" xfId="0" applyFont="1" applyFill="1" applyBorder="1" applyAlignment="1" applyProtection="1">
      <alignment horizontal="right" vertical="center"/>
    </xf>
    <xf numFmtId="0" fontId="8" fillId="9" borderId="6" xfId="0" applyFont="1" applyFill="1" applyBorder="1" applyAlignment="1" applyProtection="1">
      <alignment vertical="center"/>
    </xf>
    <xf numFmtId="1" fontId="8" fillId="9" borderId="0" xfId="0" applyNumberFormat="1" applyFont="1" applyFill="1" applyBorder="1" applyAlignment="1" applyProtection="1">
      <alignment vertical="center"/>
    </xf>
    <xf numFmtId="0" fontId="8" fillId="9" borderId="9" xfId="0" applyFont="1" applyFill="1" applyBorder="1" applyAlignment="1" applyProtection="1">
      <alignment vertical="center"/>
    </xf>
    <xf numFmtId="1" fontId="29" fillId="9" borderId="0" xfId="0" applyNumberFormat="1" applyFont="1" applyFill="1" applyBorder="1" applyAlignment="1" applyProtection="1">
      <alignment vertical="center"/>
    </xf>
    <xf numFmtId="0" fontId="3" fillId="9" borderId="9" xfId="0" applyFont="1" applyFill="1" applyBorder="1" applyAlignment="1" applyProtection="1">
      <alignment vertical="center"/>
    </xf>
    <xf numFmtId="0" fontId="3" fillId="9" borderId="11" xfId="0" applyFont="1" applyFill="1" applyBorder="1" applyAlignment="1" applyProtection="1">
      <alignment vertical="center"/>
    </xf>
    <xf numFmtId="0" fontId="218" fillId="9" borderId="0" xfId="0" applyFont="1" applyFill="1" applyBorder="1" applyAlignment="1" applyProtection="1">
      <alignment horizontal="left" vertical="center"/>
    </xf>
    <xf numFmtId="0" fontId="3" fillId="9" borderId="10" xfId="0" applyFont="1" applyFill="1" applyBorder="1" applyAlignment="1" applyProtection="1">
      <alignment vertical="center"/>
    </xf>
    <xf numFmtId="179" fontId="36" fillId="2" borderId="43" xfId="0" applyNumberFormat="1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top"/>
    </xf>
    <xf numFmtId="0" fontId="83" fillId="0" borderId="38" xfId="0" applyFont="1" applyFill="1" applyBorder="1" applyAlignment="1">
      <alignment horizontal="center" vertical="center"/>
    </xf>
    <xf numFmtId="179" fontId="3" fillId="9" borderId="69" xfId="0" applyNumberFormat="1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9" borderId="63" xfId="0" applyFont="1" applyFill="1" applyBorder="1" applyAlignment="1">
      <alignment vertical="center"/>
    </xf>
    <xf numFmtId="0" fontId="36" fillId="8" borderId="36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vertical="center"/>
    </xf>
    <xf numFmtId="0" fontId="22" fillId="7" borderId="36" xfId="0" applyFont="1" applyFill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6" fillId="8" borderId="25" xfId="0" applyFont="1" applyFill="1" applyBorder="1" applyAlignment="1">
      <alignment horizontal="center"/>
    </xf>
    <xf numFmtId="0" fontId="22" fillId="9" borderId="53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wrapText="1"/>
    </xf>
    <xf numFmtId="179" fontId="21" fillId="7" borderId="61" xfId="0" applyNumberFormat="1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54" fillId="0" borderId="0" xfId="0" applyFont="1"/>
    <xf numFmtId="0" fontId="142" fillId="9" borderId="0" xfId="0" applyFont="1" applyFill="1" applyBorder="1" applyAlignment="1">
      <alignment horizontal="left"/>
    </xf>
    <xf numFmtId="0" fontId="142" fillId="9" borderId="0" xfId="0" applyFont="1" applyFill="1" applyBorder="1" applyAlignment="1">
      <alignment horizontal="left" vertical="top"/>
    </xf>
    <xf numFmtId="0" fontId="110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 vertical="center"/>
    </xf>
    <xf numFmtId="0" fontId="44" fillId="9" borderId="0" xfId="0" applyFont="1" applyFill="1" applyBorder="1" applyAlignment="1" applyProtection="1"/>
    <xf numFmtId="0" fontId="12" fillId="9" borderId="0" xfId="0" applyFont="1" applyFill="1" applyBorder="1" applyAlignment="1" applyProtection="1"/>
    <xf numFmtId="0" fontId="176" fillId="9" borderId="0" xfId="0" applyFont="1" applyFill="1" applyBorder="1" applyAlignment="1" applyProtection="1">
      <alignment vertical="top"/>
    </xf>
    <xf numFmtId="0" fontId="175" fillId="9" borderId="0" xfId="0" applyFont="1" applyFill="1" applyBorder="1" applyAlignment="1" applyProtection="1">
      <alignment vertical="top"/>
    </xf>
    <xf numFmtId="0" fontId="175" fillId="9" borderId="0" xfId="0" applyFont="1" applyFill="1" applyBorder="1" applyAlignment="1" applyProtection="1">
      <alignment horizontal="left" vertical="top"/>
    </xf>
    <xf numFmtId="0" fontId="175" fillId="0" borderId="0" xfId="0" applyFont="1" applyAlignment="1">
      <alignment horizontal="left"/>
    </xf>
    <xf numFmtId="0" fontId="176" fillId="0" borderId="0" xfId="0" applyFont="1" applyBorder="1" applyAlignment="1">
      <alignment horizontal="center"/>
    </xf>
    <xf numFmtId="0" fontId="175" fillId="9" borderId="0" xfId="0" applyFont="1" applyFill="1" applyBorder="1" applyAlignment="1" applyProtection="1">
      <alignment horizontal="center"/>
    </xf>
    <xf numFmtId="0" fontId="176" fillId="9" borderId="11" xfId="0" applyFont="1" applyFill="1" applyBorder="1" applyAlignment="1" applyProtection="1">
      <alignment vertical="top"/>
    </xf>
    <xf numFmtId="0" fontId="176" fillId="9" borderId="0" xfId="0" applyFont="1" applyFill="1" applyBorder="1" applyAlignment="1">
      <alignment vertical="top"/>
    </xf>
    <xf numFmtId="0" fontId="220" fillId="9" borderId="0" xfId="0" applyFont="1" applyFill="1" applyBorder="1" applyAlignment="1" applyProtection="1">
      <alignment horizontal="left"/>
    </xf>
    <xf numFmtId="0" fontId="176" fillId="9" borderId="0" xfId="0" applyFont="1" applyFill="1" applyBorder="1" applyAlignment="1" applyProtection="1">
      <alignment horizontal="center" vertical="top"/>
    </xf>
    <xf numFmtId="0" fontId="175" fillId="9" borderId="0" xfId="0" applyFont="1" applyFill="1" applyBorder="1" applyAlignment="1" applyProtection="1">
      <alignment horizontal="center" vertical="center"/>
    </xf>
    <xf numFmtId="0" fontId="176" fillId="9" borderId="0" xfId="0" applyFont="1" applyFill="1" applyBorder="1" applyAlignment="1">
      <alignment horizontal="left"/>
    </xf>
    <xf numFmtId="0" fontId="176" fillId="9" borderId="0" xfId="0" applyFont="1" applyFill="1" applyBorder="1" applyAlignment="1" applyProtection="1">
      <alignment horizontal="left"/>
    </xf>
    <xf numFmtId="0" fontId="176" fillId="9" borderId="0" xfId="0" applyFont="1" applyFill="1" applyBorder="1" applyAlignment="1" applyProtection="1">
      <alignment horizontal="center"/>
    </xf>
    <xf numFmtId="0" fontId="156" fillId="9" borderId="0" xfId="0" applyFont="1" applyFill="1"/>
    <xf numFmtId="0" fontId="176" fillId="9" borderId="11" xfId="0" applyFont="1" applyFill="1" applyBorder="1" applyAlignment="1" applyProtection="1">
      <alignment horizontal="left" vertical="top"/>
    </xf>
    <xf numFmtId="0" fontId="176" fillId="9" borderId="0" xfId="0" applyFont="1" applyFill="1" applyBorder="1" applyAlignment="1">
      <alignment horizontal="center" vertical="top"/>
    </xf>
    <xf numFmtId="0" fontId="176" fillId="9" borderId="0" xfId="0" applyFont="1" applyFill="1" applyBorder="1" applyAlignment="1" applyProtection="1"/>
    <xf numFmtId="0" fontId="7" fillId="9" borderId="0" xfId="0" applyFont="1" applyFill="1" applyBorder="1" applyAlignment="1" applyProtection="1">
      <alignment horizontal="center" vertical="top"/>
    </xf>
    <xf numFmtId="0" fontId="3" fillId="9" borderId="6" xfId="0" applyFont="1" applyFill="1" applyBorder="1" applyAlignment="1" applyProtection="1"/>
    <xf numFmtId="0" fontId="9" fillId="9" borderId="11" xfId="0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right"/>
    </xf>
    <xf numFmtId="0" fontId="6" fillId="9" borderId="7" xfId="0" applyFont="1" applyFill="1" applyBorder="1" applyAlignment="1" applyProtection="1">
      <alignment horizontal="right" vertical="top"/>
    </xf>
    <xf numFmtId="1" fontId="176" fillId="9" borderId="0" xfId="0" applyNumberFormat="1" applyFont="1" applyFill="1" applyBorder="1" applyAlignment="1">
      <alignment horizontal="right"/>
    </xf>
    <xf numFmtId="1" fontId="176" fillId="9" borderId="0" xfId="0" applyNumberFormat="1" applyFont="1" applyFill="1" applyBorder="1" applyAlignment="1">
      <alignment horizontal="right" vertical="top"/>
    </xf>
    <xf numFmtId="0" fontId="176" fillId="9" borderId="0" xfId="0" applyFont="1" applyFill="1" applyBorder="1" applyAlignment="1">
      <alignment horizontal="center"/>
    </xf>
    <xf numFmtId="0" fontId="176" fillId="9" borderId="0" xfId="0" applyFont="1" applyFill="1" applyBorder="1" applyAlignment="1">
      <alignment horizontal="left" vertical="top"/>
    </xf>
    <xf numFmtId="0" fontId="222" fillId="9" borderId="0" xfId="0" applyFont="1" applyFill="1" applyBorder="1" applyAlignment="1">
      <alignment horizontal="center"/>
    </xf>
    <xf numFmtId="0" fontId="175" fillId="9" borderId="0" xfId="0" applyFont="1" applyFill="1" applyBorder="1" applyAlignment="1"/>
    <xf numFmtId="0" fontId="222" fillId="9" borderId="0" xfId="0" applyFont="1" applyFill="1" applyBorder="1" applyAlignment="1">
      <alignment horizontal="center" vertical="top"/>
    </xf>
    <xf numFmtId="0" fontId="222" fillId="9" borderId="0" xfId="0" applyFont="1" applyFill="1" applyBorder="1" applyAlignment="1">
      <alignment horizontal="left" vertical="top"/>
    </xf>
    <xf numFmtId="0" fontId="175" fillId="9" borderId="0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right" vertical="top"/>
    </xf>
    <xf numFmtId="0" fontId="176" fillId="9" borderId="0" xfId="0" applyFont="1" applyFill="1" applyBorder="1" applyAlignment="1">
      <alignment horizontal="center" vertical="center"/>
    </xf>
    <xf numFmtId="0" fontId="176" fillId="9" borderId="0" xfId="0" applyFont="1" applyFill="1" applyBorder="1" applyAlignment="1">
      <alignment vertical="center"/>
    </xf>
    <xf numFmtId="0" fontId="93" fillId="9" borderId="0" xfId="0" applyFont="1" applyFill="1" applyBorder="1" applyAlignment="1">
      <alignment horizontal="center" vertical="center"/>
    </xf>
    <xf numFmtId="2" fontId="3" fillId="9" borderId="0" xfId="0" applyNumberFormat="1" applyFont="1" applyFill="1" applyBorder="1" applyAlignment="1" applyProtection="1">
      <alignment vertical="center"/>
      <protection hidden="1"/>
    </xf>
    <xf numFmtId="0" fontId="0" fillId="9" borderId="9" xfId="0" applyFont="1" applyFill="1" applyBorder="1" applyAlignment="1">
      <alignment vertical="center"/>
    </xf>
    <xf numFmtId="0" fontId="171" fillId="9" borderId="0" xfId="0" applyFont="1" applyFill="1" applyBorder="1" applyAlignment="1">
      <alignment horizontal="right" vertical="top"/>
    </xf>
    <xf numFmtId="0" fontId="0" fillId="9" borderId="0" xfId="0" applyFont="1" applyFill="1" applyBorder="1" applyAlignment="1"/>
    <xf numFmtId="0" fontId="122" fillId="0" borderId="0" xfId="0" applyFont="1" applyAlignment="1" applyProtection="1">
      <protection locked="0"/>
    </xf>
    <xf numFmtId="0" fontId="182" fillId="0" borderId="0" xfId="1" applyFont="1" applyAlignment="1" applyProtection="1">
      <alignment vertical="top"/>
    </xf>
    <xf numFmtId="0" fontId="186" fillId="0" borderId="0" xfId="0" applyFont="1" applyAlignment="1">
      <alignment vertical="top"/>
    </xf>
    <xf numFmtId="0" fontId="175" fillId="9" borderId="0" xfId="0" applyFont="1" applyFill="1" applyBorder="1" applyAlignment="1">
      <alignment horizontal="left" vertical="center"/>
    </xf>
    <xf numFmtId="0" fontId="20" fillId="9" borderId="0" xfId="0" applyFont="1" applyFill="1" applyBorder="1" applyAlignment="1">
      <alignment horizontal="center" vertical="center"/>
    </xf>
    <xf numFmtId="0" fontId="225" fillId="9" borderId="0" xfId="1" applyFont="1" applyFill="1" applyBorder="1" applyAlignment="1" applyProtection="1">
      <alignment horizontal="center" vertical="top"/>
    </xf>
    <xf numFmtId="0" fontId="36" fillId="9" borderId="0" xfId="0" applyFont="1" applyFill="1" applyBorder="1" applyAlignment="1">
      <alignment horizontal="left" vertical="top"/>
    </xf>
    <xf numFmtId="0" fontId="36" fillId="9" borderId="5" xfId="0" applyFont="1" applyFill="1" applyBorder="1" applyAlignment="1">
      <alignment horizontal="right" vertical="top"/>
    </xf>
    <xf numFmtId="0" fontId="29" fillId="9" borderId="6" xfId="0" applyFont="1" applyFill="1" applyBorder="1" applyAlignment="1">
      <alignment horizontal="left" vertical="top"/>
    </xf>
    <xf numFmtId="0" fontId="36" fillId="9" borderId="6" xfId="0" applyFont="1" applyFill="1" applyBorder="1" applyAlignment="1">
      <alignment horizontal="center" vertical="top"/>
    </xf>
    <xf numFmtId="0" fontId="29" fillId="9" borderId="6" xfId="0" applyFont="1" applyFill="1" applyBorder="1" applyAlignment="1">
      <alignment vertical="top"/>
    </xf>
    <xf numFmtId="0" fontId="3" fillId="9" borderId="7" xfId="0" applyFont="1" applyFill="1" applyBorder="1" applyAlignment="1">
      <alignment vertical="top"/>
    </xf>
    <xf numFmtId="0" fontId="36" fillId="9" borderId="6" xfId="0" applyFont="1" applyFill="1" applyBorder="1" applyAlignment="1">
      <alignment vertical="top"/>
    </xf>
    <xf numFmtId="0" fontId="29" fillId="9" borderId="7" xfId="0" applyFont="1" applyFill="1" applyBorder="1" applyAlignment="1">
      <alignment vertical="top"/>
    </xf>
    <xf numFmtId="0" fontId="176" fillId="9" borderId="11" xfId="0" applyFont="1" applyFill="1" applyBorder="1" applyAlignment="1">
      <alignment horizontal="center" vertical="top"/>
    </xf>
    <xf numFmtId="0" fontId="176" fillId="9" borderId="6" xfId="0" applyFont="1" applyFill="1" applyBorder="1" applyAlignment="1">
      <alignment horizontal="center"/>
    </xf>
    <xf numFmtId="0" fontId="176" fillId="9" borderId="0" xfId="0" applyFont="1" applyFill="1" applyBorder="1" applyAlignment="1"/>
    <xf numFmtId="0" fontId="6" fillId="9" borderId="7" xfId="0" applyFont="1" applyFill="1" applyBorder="1" applyAlignment="1" applyProtection="1">
      <alignment horizontal="right" vertical="center"/>
    </xf>
    <xf numFmtId="0" fontId="155" fillId="9" borderId="0" xfId="1" applyFont="1" applyFill="1" applyAlignment="1" applyProtection="1">
      <alignment horizontal="left" vertical="center"/>
      <protection locked="0"/>
    </xf>
    <xf numFmtId="0" fontId="9" fillId="9" borderId="6" xfId="0" applyFont="1" applyFill="1" applyBorder="1" applyAlignment="1" applyProtection="1">
      <alignment horizontal="right" vertical="center"/>
    </xf>
    <xf numFmtId="0" fontId="3" fillId="9" borderId="6" xfId="0" applyFont="1" applyFill="1" applyBorder="1" applyAlignment="1" applyProtection="1">
      <alignment vertical="center"/>
    </xf>
    <xf numFmtId="0" fontId="9" fillId="9" borderId="6" xfId="0" applyFont="1" applyFill="1" applyBorder="1" applyAlignment="1" applyProtection="1">
      <alignment horizontal="left" vertical="center"/>
    </xf>
    <xf numFmtId="0" fontId="176" fillId="9" borderId="0" xfId="0" applyFont="1" applyFill="1" applyBorder="1" applyAlignment="1" applyProtection="1">
      <alignment horizontal="left" vertical="top"/>
    </xf>
    <xf numFmtId="0" fontId="31" fillId="9" borderId="0" xfId="0" applyFont="1" applyFill="1" applyBorder="1" applyAlignment="1" applyProtection="1">
      <alignment horizontal="center" vertical="top"/>
    </xf>
    <xf numFmtId="0" fontId="6" fillId="9" borderId="0" xfId="0" applyFont="1" applyFill="1" applyBorder="1" applyAlignment="1" applyProtection="1">
      <alignment horizontal="center" vertical="top"/>
    </xf>
    <xf numFmtId="0" fontId="26" fillId="9" borderId="0" xfId="0" applyFont="1" applyFill="1" applyAlignment="1">
      <alignment horizontal="right"/>
    </xf>
    <xf numFmtId="0" fontId="228" fillId="0" borderId="0" xfId="1" applyFont="1" applyFill="1" applyAlignment="1" applyProtection="1">
      <alignment vertical="top"/>
      <protection locked="0"/>
    </xf>
    <xf numFmtId="0" fontId="14" fillId="9" borderId="11" xfId="0" applyFont="1" applyFill="1" applyBorder="1" applyAlignment="1" applyProtection="1">
      <alignment horizontal="left" vertical="top"/>
    </xf>
    <xf numFmtId="0" fontId="175" fillId="9" borderId="0" xfId="0" applyFont="1" applyFill="1" applyBorder="1" applyAlignment="1">
      <alignment vertical="top"/>
    </xf>
    <xf numFmtId="0" fontId="14" fillId="0" borderId="0" xfId="0" applyFont="1" applyBorder="1" applyAlignment="1">
      <alignment horizontal="right" vertical="center"/>
    </xf>
    <xf numFmtId="0" fontId="229" fillId="9" borderId="53" xfId="0" applyFont="1" applyFill="1" applyBorder="1" applyAlignment="1">
      <alignment horizontal="center" vertical="center"/>
    </xf>
    <xf numFmtId="179" fontId="9" fillId="9" borderId="38" xfId="0" applyNumberFormat="1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21" fillId="9" borderId="52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2" fontId="182" fillId="9" borderId="0" xfId="1" applyNumberFormat="1" applyFont="1" applyFill="1" applyBorder="1" applyAlignment="1" applyProtection="1"/>
    <xf numFmtId="0" fontId="9" fillId="0" borderId="0" xfId="0" applyFont="1" applyBorder="1" applyAlignment="1">
      <alignment horizontal="center"/>
    </xf>
    <xf numFmtId="0" fontId="9" fillId="9" borderId="10" xfId="0" applyFont="1" applyFill="1" applyBorder="1" applyAlignment="1">
      <alignment vertical="center"/>
    </xf>
    <xf numFmtId="0" fontId="9" fillId="9" borderId="11" xfId="0" applyFont="1" applyFill="1" applyBorder="1" applyAlignment="1" applyProtection="1">
      <alignment vertical="center"/>
    </xf>
    <xf numFmtId="0" fontId="9" fillId="9" borderId="12" xfId="0" applyFont="1" applyFill="1" applyBorder="1" applyAlignment="1" applyProtection="1">
      <alignment vertical="center"/>
    </xf>
    <xf numFmtId="0" fontId="39" fillId="9" borderId="11" xfId="0" applyFont="1" applyFill="1" applyBorder="1" applyAlignment="1" applyProtection="1">
      <alignment horizontal="center" vertical="center"/>
    </xf>
    <xf numFmtId="49" fontId="9" fillId="9" borderId="0" xfId="0" applyNumberFormat="1" applyFont="1" applyFill="1" applyBorder="1" applyAlignment="1" applyProtection="1">
      <alignment horizontal="left"/>
    </xf>
    <xf numFmtId="0" fontId="21" fillId="9" borderId="0" xfId="0" applyFont="1" applyFill="1" applyBorder="1" applyAlignment="1" applyProtection="1">
      <alignment vertical="top"/>
    </xf>
    <xf numFmtId="0" fontId="14" fillId="9" borderId="0" xfId="0" applyFont="1" applyFill="1" applyBorder="1" applyAlignment="1" applyProtection="1">
      <alignment vertical="top"/>
    </xf>
    <xf numFmtId="0" fontId="12" fillId="9" borderId="0" xfId="0" applyFont="1" applyFill="1" applyBorder="1"/>
    <xf numFmtId="0" fontId="9" fillId="9" borderId="0" xfId="0" applyFont="1" applyFill="1"/>
    <xf numFmtId="0" fontId="31" fillId="9" borderId="11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vertical="top"/>
    </xf>
    <xf numFmtId="0" fontId="118" fillId="0" borderId="0" xfId="0" applyFont="1" applyFill="1" applyBorder="1" applyAlignment="1" applyProtection="1">
      <alignment horizontal="center" vertical="top"/>
    </xf>
    <xf numFmtId="0" fontId="110" fillId="9" borderId="0" xfId="0" applyFont="1" applyFill="1" applyAlignment="1" applyProtection="1">
      <alignment horizontal="center"/>
      <protection locked="0"/>
    </xf>
    <xf numFmtId="0" fontId="110" fillId="9" borderId="0" xfId="0" applyFont="1" applyFill="1" applyProtection="1">
      <protection locked="0"/>
    </xf>
    <xf numFmtId="0" fontId="146" fillId="9" borderId="0" xfId="0" applyFont="1" applyFill="1" applyAlignment="1" applyProtection="1">
      <alignment horizontal="center"/>
      <protection locked="0"/>
    </xf>
    <xf numFmtId="0" fontId="110" fillId="0" borderId="0" xfId="0" applyFont="1" applyAlignment="1">
      <alignment horizontal="center"/>
    </xf>
    <xf numFmtId="2" fontId="3" fillId="9" borderId="0" xfId="0" applyNumberFormat="1" applyFont="1" applyFill="1" applyBorder="1" applyAlignment="1" applyProtection="1"/>
    <xf numFmtId="0" fontId="9" fillId="0" borderId="0" xfId="0" applyFont="1" applyFill="1" applyBorder="1" applyAlignment="1" applyProtection="1"/>
    <xf numFmtId="0" fontId="9" fillId="9" borderId="11" xfId="0" applyFont="1" applyFill="1" applyBorder="1" applyAlignment="1" applyProtection="1">
      <alignment horizontal="left" vertical="center"/>
    </xf>
    <xf numFmtId="0" fontId="9" fillId="9" borderId="11" xfId="0" applyFont="1" applyFill="1" applyBorder="1" applyAlignment="1" applyProtection="1">
      <alignment horizontal="right" vertical="center"/>
    </xf>
    <xf numFmtId="0" fontId="1" fillId="9" borderId="11" xfId="0" applyFont="1" applyFill="1" applyBorder="1" applyAlignment="1" applyProtection="1">
      <alignment vertical="center"/>
    </xf>
    <xf numFmtId="1" fontId="3" fillId="9" borderId="11" xfId="0" applyNumberFormat="1" applyFont="1" applyFill="1" applyBorder="1" applyAlignment="1" applyProtection="1">
      <alignment horizontal="left" vertical="center"/>
    </xf>
    <xf numFmtId="0" fontId="235" fillId="9" borderId="0" xfId="1" applyFont="1" applyFill="1" applyAlignment="1" applyProtection="1">
      <alignment horizontal="center" vertical="top"/>
    </xf>
    <xf numFmtId="0" fontId="110" fillId="9" borderId="0" xfId="0" applyFont="1" applyFill="1" applyAlignment="1" applyProtection="1">
      <alignment horizontal="center"/>
    </xf>
    <xf numFmtId="0" fontId="236" fillId="0" borderId="0" xfId="0" applyFont="1" applyFill="1"/>
    <xf numFmtId="0" fontId="236" fillId="9" borderId="9" xfId="0" applyFont="1" applyFill="1" applyBorder="1" applyProtection="1"/>
    <xf numFmtId="0" fontId="0" fillId="9" borderId="8" xfId="0" applyFill="1" applyBorder="1" applyAlignment="1" applyProtection="1">
      <alignment vertical="top"/>
    </xf>
    <xf numFmtId="0" fontId="156" fillId="9" borderId="0" xfId="0" applyFont="1" applyFill="1" applyBorder="1" applyAlignment="1" applyProtection="1">
      <alignment horizontal="right" vertical="top"/>
    </xf>
    <xf numFmtId="0" fontId="0" fillId="0" borderId="9" xfId="0" applyBorder="1" applyAlignment="1" applyProtection="1">
      <alignment vertical="top"/>
    </xf>
    <xf numFmtId="0" fontId="155" fillId="0" borderId="0" xfId="1" applyFont="1" applyAlignment="1" applyProtection="1">
      <alignment vertical="top"/>
      <protection locked="0"/>
    </xf>
    <xf numFmtId="0" fontId="225" fillId="9" borderId="0" xfId="1" applyFont="1" applyFill="1" applyAlignment="1" applyProtection="1">
      <alignment horizontal="center" vertical="top"/>
    </xf>
    <xf numFmtId="0" fontId="110" fillId="9" borderId="0" xfId="0" applyFont="1" applyFill="1" applyBorder="1" applyAlignment="1" applyProtection="1">
      <alignment horizontal="center"/>
    </xf>
    <xf numFmtId="0" fontId="202" fillId="9" borderId="0" xfId="0" applyFont="1" applyFill="1" applyBorder="1" applyAlignment="1" applyProtection="1">
      <alignment vertical="top"/>
    </xf>
    <xf numFmtId="0" fontId="202" fillId="9" borderId="0" xfId="0" applyFont="1" applyFill="1" applyBorder="1" applyAlignment="1" applyProtection="1">
      <alignment horizontal="right" vertical="top"/>
    </xf>
    <xf numFmtId="0" fontId="5" fillId="9" borderId="0" xfId="0" applyFont="1" applyFill="1" applyAlignment="1">
      <alignment horizontal="right" vertical="top"/>
    </xf>
    <xf numFmtId="0" fontId="136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>
      <alignment horizontal="center" vertical="top"/>
    </xf>
    <xf numFmtId="0" fontId="0" fillId="9" borderId="0" xfId="0" applyFont="1" applyFill="1" applyAlignment="1" applyProtection="1"/>
    <xf numFmtId="0" fontId="0" fillId="0" borderId="11" xfId="0" applyBorder="1" applyAlignment="1">
      <alignment vertical="center"/>
    </xf>
    <xf numFmtId="0" fontId="235" fillId="9" borderId="0" xfId="1" applyFont="1" applyFill="1" applyAlignment="1" applyProtection="1">
      <alignment horizontal="center" vertical="top"/>
      <protection locked="0"/>
    </xf>
    <xf numFmtId="0" fontId="21" fillId="4" borderId="4" xfId="0" applyFont="1" applyFill="1" applyBorder="1" applyAlignment="1" applyProtection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vertical="center"/>
    </xf>
    <xf numFmtId="0" fontId="21" fillId="4" borderId="3" xfId="0" applyFont="1" applyFill="1" applyBorder="1" applyAlignment="1" applyProtection="1">
      <alignment horizontal="center"/>
    </xf>
    <xf numFmtId="0" fontId="21" fillId="4" borderId="3" xfId="0" applyFont="1" applyFill="1" applyBorder="1" applyAlignment="1" applyProtection="1">
      <alignment horizontal="center" vertical="center"/>
    </xf>
    <xf numFmtId="0" fontId="110" fillId="9" borderId="11" xfId="1" applyFont="1" applyFill="1" applyBorder="1" applyAlignment="1" applyProtection="1">
      <alignment horizontal="right" vertical="center"/>
    </xf>
    <xf numFmtId="0" fontId="234" fillId="9" borderId="11" xfId="0" applyFont="1" applyFill="1" applyBorder="1" applyAlignment="1">
      <alignment vertical="center"/>
    </xf>
    <xf numFmtId="0" fontId="234" fillId="9" borderId="11" xfId="0" applyFont="1" applyFill="1" applyBorder="1" applyAlignment="1">
      <alignment horizontal="center" vertical="center"/>
    </xf>
    <xf numFmtId="0" fontId="228" fillId="9" borderId="11" xfId="1" applyFont="1" applyFill="1" applyBorder="1" applyAlignment="1" applyProtection="1">
      <alignment horizontal="center" vertical="center"/>
    </xf>
    <xf numFmtId="0" fontId="228" fillId="9" borderId="11" xfId="1" applyFont="1" applyFill="1" applyBorder="1" applyAlignment="1" applyProtection="1">
      <alignment vertical="center"/>
    </xf>
    <xf numFmtId="0" fontId="234" fillId="0" borderId="11" xfId="0" applyFont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176" fillId="9" borderId="0" xfId="0" applyFont="1" applyFill="1" applyBorder="1" applyAlignment="1" applyProtection="1">
      <alignment horizontal="right" vertical="top"/>
    </xf>
    <xf numFmtId="0" fontId="177" fillId="9" borderId="0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/>
    </xf>
    <xf numFmtId="0" fontId="27" fillId="9" borderId="8" xfId="0" applyFont="1" applyFill="1" applyBorder="1" applyAlignment="1">
      <alignment vertical="top"/>
    </xf>
    <xf numFmtId="0" fontId="27" fillId="9" borderId="8" xfId="0" applyFont="1" applyFill="1" applyBorder="1" applyAlignment="1">
      <alignment horizontal="left" vertical="top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3" fillId="9" borderId="0" xfId="0" applyNumberFormat="1" applyFont="1" applyFill="1" applyBorder="1" applyAlignment="1" applyProtection="1">
      <alignment horizontal="center"/>
      <protection hidden="1"/>
    </xf>
    <xf numFmtId="2" fontId="8" fillId="9" borderId="0" xfId="0" applyNumberFormat="1" applyFont="1" applyFill="1" applyBorder="1" applyAlignment="1" applyProtection="1">
      <alignment horizontal="center"/>
      <protection hidden="1"/>
    </xf>
    <xf numFmtId="165" fontId="39" fillId="0" borderId="0" xfId="0" applyNumberFormat="1" applyFont="1"/>
    <xf numFmtId="0" fontId="93" fillId="9" borderId="0" xfId="0" applyFont="1" applyFill="1" applyBorder="1" applyAlignment="1" applyProtection="1">
      <alignment vertical="center"/>
    </xf>
    <xf numFmtId="0" fontId="12" fillId="9" borderId="11" xfId="0" applyFont="1" applyFill="1" applyBorder="1" applyAlignment="1" applyProtection="1">
      <alignment horizontal="left" vertical="top"/>
    </xf>
    <xf numFmtId="0" fontId="93" fillId="9" borderId="0" xfId="0" applyFont="1" applyFill="1" applyBorder="1" applyProtection="1"/>
    <xf numFmtId="0" fontId="39" fillId="0" borderId="0" xfId="0" applyFont="1"/>
    <xf numFmtId="0" fontId="14" fillId="9" borderId="11" xfId="0" applyFont="1" applyFill="1" applyBorder="1" applyAlignment="1"/>
    <xf numFmtId="0" fontId="0" fillId="9" borderId="0" xfId="0" applyFont="1" applyFill="1" applyAlignment="1" applyProtection="1">
      <alignment horizontal="center"/>
    </xf>
    <xf numFmtId="0" fontId="54" fillId="9" borderId="0" xfId="0" applyFont="1" applyFill="1" applyBorder="1" applyAlignment="1">
      <alignment horizontal="right"/>
    </xf>
    <xf numFmtId="0" fontId="219" fillId="9" borderId="0" xfId="1" applyFont="1" applyFill="1" applyAlignment="1" applyProtection="1">
      <alignment horizontal="center" vertical="top"/>
      <protection locked="0"/>
    </xf>
    <xf numFmtId="1" fontId="3" fillId="9" borderId="9" xfId="0" applyNumberFormat="1" applyFont="1" applyFill="1" applyBorder="1" applyAlignment="1">
      <alignment horizontal="center"/>
    </xf>
    <xf numFmtId="1" fontId="3" fillId="9" borderId="31" xfId="0" applyNumberFormat="1" applyFont="1" applyFill="1" applyBorder="1" applyAlignment="1">
      <alignment horizontal="center"/>
    </xf>
    <xf numFmtId="0" fontId="3" fillId="8" borderId="72" xfId="0" applyFont="1" applyFill="1" applyBorder="1" applyAlignment="1">
      <alignment horizontal="center"/>
    </xf>
    <xf numFmtId="0" fontId="3" fillId="9" borderId="74" xfId="0" applyFont="1" applyFill="1" applyBorder="1" applyAlignment="1">
      <alignment horizontal="center"/>
    </xf>
    <xf numFmtId="0" fontId="3" fillId="8" borderId="77" xfId="0" applyFont="1" applyFill="1" applyBorder="1" applyAlignment="1">
      <alignment horizontal="center"/>
    </xf>
    <xf numFmtId="0" fontId="3" fillId="8" borderId="78" xfId="0" applyFont="1" applyFill="1" applyBorder="1"/>
    <xf numFmtId="0" fontId="3" fillId="14" borderId="75" xfId="0" applyFont="1" applyFill="1" applyBorder="1" applyAlignment="1">
      <alignment horizontal="center"/>
    </xf>
    <xf numFmtId="1" fontId="3" fillId="14" borderId="33" xfId="0" applyNumberFormat="1" applyFont="1" applyFill="1" applyBorder="1" applyAlignment="1">
      <alignment horizontal="center"/>
    </xf>
    <xf numFmtId="165" fontId="3" fillId="14" borderId="30" xfId="0" applyNumberFormat="1" applyFont="1" applyFill="1" applyBorder="1" applyAlignment="1">
      <alignment horizontal="center"/>
    </xf>
    <xf numFmtId="2" fontId="3" fillId="14" borderId="1" xfId="0" applyNumberFormat="1" applyFont="1" applyFill="1" applyBorder="1" applyAlignment="1" applyProtection="1">
      <alignment horizontal="center"/>
      <protection hidden="1"/>
    </xf>
    <xf numFmtId="1" fontId="3" fillId="14" borderId="1" xfId="0" applyNumberFormat="1" applyFont="1" applyFill="1" applyBorder="1" applyAlignment="1" applyProtection="1">
      <alignment horizontal="center"/>
      <protection hidden="1"/>
    </xf>
    <xf numFmtId="166" fontId="3" fillId="14" borderId="1" xfId="0" applyNumberFormat="1" applyFont="1" applyFill="1" applyBorder="1" applyAlignment="1" applyProtection="1">
      <alignment horizontal="center"/>
      <protection hidden="1"/>
    </xf>
    <xf numFmtId="2" fontId="3" fillId="14" borderId="32" xfId="0" applyNumberFormat="1" applyFont="1" applyFill="1" applyBorder="1" applyAlignment="1" applyProtection="1">
      <alignment horizontal="center"/>
      <protection hidden="1"/>
    </xf>
    <xf numFmtId="0" fontId="14" fillId="9" borderId="0" xfId="0" applyFont="1" applyFill="1" applyBorder="1" applyAlignment="1">
      <alignment vertical="top"/>
    </xf>
    <xf numFmtId="0" fontId="3" fillId="9" borderId="0" xfId="0" applyFont="1" applyFill="1" applyAlignment="1">
      <alignment horizontal="right"/>
    </xf>
    <xf numFmtId="0" fontId="3" fillId="7" borderId="79" xfId="0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 applyProtection="1">
      <alignment horizontal="center"/>
      <protection hidden="1"/>
    </xf>
    <xf numFmtId="1" fontId="6" fillId="7" borderId="3" xfId="0" applyNumberFormat="1" applyFont="1" applyFill="1" applyBorder="1" applyAlignment="1" applyProtection="1">
      <alignment horizontal="center"/>
      <protection hidden="1"/>
    </xf>
    <xf numFmtId="0" fontId="6" fillId="7" borderId="3" xfId="0" applyFont="1" applyFill="1" applyBorder="1" applyAlignment="1" applyProtection="1">
      <alignment horizontal="center"/>
      <protection hidden="1"/>
    </xf>
    <xf numFmtId="0" fontId="6" fillId="7" borderId="80" xfId="0" applyFont="1" applyFill="1" applyBorder="1" applyAlignment="1" applyProtection="1">
      <alignment horizontal="center"/>
      <protection hidden="1"/>
    </xf>
    <xf numFmtId="0" fontId="3" fillId="8" borderId="7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3" fillId="8" borderId="76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81" xfId="0" applyFont="1" applyFill="1" applyBorder="1" applyAlignment="1">
      <alignment horizontal="left"/>
    </xf>
    <xf numFmtId="0" fontId="3" fillId="8" borderId="81" xfId="0" applyFont="1" applyFill="1" applyBorder="1" applyAlignment="1">
      <alignment horizontal="right"/>
    </xf>
    <xf numFmtId="165" fontId="54" fillId="3" borderId="1" xfId="0" applyNumberFormat="1" applyFont="1" applyFill="1" applyBorder="1" applyAlignment="1" applyProtection="1">
      <alignment horizontal="center"/>
      <protection hidden="1"/>
    </xf>
    <xf numFmtId="0" fontId="14" fillId="9" borderId="11" xfId="0" applyFont="1" applyFill="1" applyBorder="1" applyAlignment="1" applyProtection="1">
      <alignment horizontal="center" vertical="center"/>
    </xf>
    <xf numFmtId="0" fontId="20" fillId="9" borderId="11" xfId="0" applyFont="1" applyFill="1" applyBorder="1" applyAlignment="1" applyProtection="1">
      <alignment horizontal="center" vertical="center"/>
    </xf>
    <xf numFmtId="0" fontId="5" fillId="9" borderId="11" xfId="0" applyFont="1" applyFill="1" applyBorder="1" applyAlignment="1">
      <alignment horizontal="left" vertical="center"/>
    </xf>
    <xf numFmtId="0" fontId="5" fillId="9" borderId="11" xfId="0" applyFont="1" applyFill="1" applyBorder="1" applyAlignment="1">
      <alignment horizontal="right" vertical="center"/>
    </xf>
    <xf numFmtId="0" fontId="0" fillId="9" borderId="11" xfId="0" applyFill="1" applyBorder="1" applyAlignment="1">
      <alignment vertical="center"/>
    </xf>
    <xf numFmtId="0" fontId="3" fillId="9" borderId="12" xfId="0" applyFont="1" applyFill="1" applyBorder="1" applyAlignment="1" applyProtection="1">
      <alignment vertical="center"/>
    </xf>
    <xf numFmtId="0" fontId="14" fillId="9" borderId="0" xfId="0" applyFont="1" applyFill="1" applyBorder="1" applyAlignment="1" applyProtection="1">
      <alignment horizontal="left" vertical="center"/>
    </xf>
    <xf numFmtId="0" fontId="110" fillId="9" borderId="0" xfId="0" applyFont="1" applyFill="1" applyBorder="1" applyAlignment="1" applyProtection="1">
      <alignment horizontal="center"/>
      <protection locked="0"/>
    </xf>
    <xf numFmtId="0" fontId="235" fillId="9" borderId="0" xfId="1" applyFont="1" applyFill="1" applyBorder="1" applyAlignment="1" applyProtection="1">
      <alignment horizontal="center" vertical="top"/>
      <protection locked="0"/>
    </xf>
    <xf numFmtId="1" fontId="30" fillId="0" borderId="0" xfId="0" applyNumberFormat="1" applyFont="1" applyFill="1" applyBorder="1" applyAlignment="1" applyProtection="1">
      <alignment horizontal="center" vertical="top"/>
    </xf>
    <xf numFmtId="0" fontId="25" fillId="0" borderId="0" xfId="0" applyFont="1" applyAlignment="1"/>
    <xf numFmtId="0" fontId="181" fillId="0" borderId="0" xfId="0" applyFont="1"/>
    <xf numFmtId="0" fontId="12" fillId="9" borderId="0" xfId="0" applyFont="1" applyFill="1" applyBorder="1" applyAlignment="1" applyProtection="1">
      <alignment vertical="top"/>
    </xf>
    <xf numFmtId="0" fontId="238" fillId="0" borderId="0" xfId="0" applyFont="1"/>
    <xf numFmtId="0" fontId="238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21" fillId="9" borderId="0" xfId="0" applyFont="1" applyFill="1" applyBorder="1" applyAlignment="1" applyProtection="1">
      <alignment horizontal="right" vertical="top"/>
    </xf>
    <xf numFmtId="0" fontId="221" fillId="9" borderId="0" xfId="0" applyFont="1" applyFill="1" applyBorder="1" applyAlignment="1" applyProtection="1">
      <alignment horizontal="right"/>
    </xf>
    <xf numFmtId="0" fontId="7" fillId="9" borderId="0" xfId="0" applyFont="1" applyFill="1" applyBorder="1" applyAlignment="1" applyProtection="1">
      <alignment horizontal="center" vertical="center"/>
    </xf>
    <xf numFmtId="0" fontId="31" fillId="9" borderId="0" xfId="0" applyFont="1" applyFill="1" applyBorder="1" applyAlignment="1" applyProtection="1">
      <alignment horizontal="left" vertical="center"/>
    </xf>
    <xf numFmtId="0" fontId="82" fillId="8" borderId="0" xfId="0" applyFont="1" applyFill="1" applyBorder="1" applyAlignment="1" applyProtection="1">
      <alignment horizontal="left"/>
    </xf>
    <xf numFmtId="0" fontId="30" fillId="8" borderId="8" xfId="0" applyFont="1" applyFill="1" applyBorder="1" applyAlignment="1" applyProtection="1">
      <alignment horizontal="left"/>
    </xf>
    <xf numFmtId="0" fontId="3" fillId="9" borderId="0" xfId="0" applyFont="1" applyFill="1" applyBorder="1" applyProtection="1">
      <protection locked="0"/>
    </xf>
    <xf numFmtId="0" fontId="21" fillId="6" borderId="4" xfId="0" applyFont="1" applyFill="1" applyBorder="1"/>
    <xf numFmtId="0" fontId="239" fillId="0" borderId="0" xfId="0" applyFont="1" applyAlignment="1">
      <alignment horizontal="center" vertical="center"/>
    </xf>
    <xf numFmtId="1" fontId="9" fillId="9" borderId="0" xfId="0" applyNumberFormat="1" applyFont="1" applyFill="1" applyBorder="1" applyAlignment="1" applyProtection="1"/>
    <xf numFmtId="165" fontId="3" fillId="2" borderId="1" xfId="0" applyNumberFormat="1" applyFont="1" applyFill="1" applyBorder="1" applyAlignment="1" applyProtection="1">
      <alignment horizontal="right" vertical="center"/>
    </xf>
    <xf numFmtId="0" fontId="30" fillId="9" borderId="0" xfId="0" applyFont="1" applyFill="1" applyBorder="1" applyAlignment="1" applyProtection="1">
      <alignment horizontal="right"/>
    </xf>
    <xf numFmtId="0" fontId="6" fillId="0" borderId="6" xfId="0" applyFont="1" applyBorder="1" applyAlignment="1">
      <alignment horizontal="center"/>
    </xf>
    <xf numFmtId="0" fontId="30" fillId="9" borderId="0" xfId="0" applyFont="1" applyFill="1" applyBorder="1" applyAlignment="1" applyProtection="1">
      <alignment horizontal="center" vertical="top"/>
    </xf>
    <xf numFmtId="170" fontId="3" fillId="0" borderId="0" xfId="0" applyNumberFormat="1" applyFont="1" applyAlignment="1">
      <alignment horizontal="center"/>
    </xf>
    <xf numFmtId="0" fontId="14" fillId="0" borderId="0" xfId="1" applyFont="1" applyAlignment="1" applyProtection="1">
      <alignment horizontal="right"/>
      <protection locked="0"/>
    </xf>
    <xf numFmtId="170" fontId="8" fillId="0" borderId="0" xfId="0" applyNumberFormat="1" applyFont="1" applyAlignment="1">
      <alignment horizontal="center"/>
    </xf>
    <xf numFmtId="0" fontId="208" fillId="9" borderId="11" xfId="1" applyFont="1" applyFill="1" applyBorder="1" applyAlignment="1" applyProtection="1">
      <alignment horizontal="center" vertical="top"/>
      <protection locked="0"/>
    </xf>
    <xf numFmtId="0" fontId="14" fillId="9" borderId="0" xfId="0" applyFont="1" applyFill="1" applyBorder="1" applyAlignment="1" applyProtection="1">
      <alignment horizontal="center" vertical="top"/>
    </xf>
    <xf numFmtId="0" fontId="20" fillId="9" borderId="0" xfId="0" applyFont="1" applyFill="1" applyAlignment="1">
      <alignment horizontal="right" vertical="center"/>
    </xf>
    <xf numFmtId="0" fontId="3" fillId="9" borderId="0" xfId="0" applyFont="1" applyFill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20" fillId="9" borderId="0" xfId="1" applyFont="1" applyFill="1" applyBorder="1" applyAlignment="1" applyProtection="1">
      <alignment horizontal="right" vertical="top"/>
      <protection locked="0"/>
    </xf>
    <xf numFmtId="0" fontId="0" fillId="6" borderId="2" xfId="0" applyFill="1" applyBorder="1" applyAlignment="1" applyProtection="1">
      <alignment vertical="center"/>
    </xf>
    <xf numFmtId="0" fontId="0" fillId="6" borderId="3" xfId="0" applyFill="1" applyBorder="1" applyAlignment="1">
      <alignment vertical="center"/>
    </xf>
    <xf numFmtId="0" fontId="39" fillId="9" borderId="0" xfId="0" applyFont="1" applyFill="1" applyBorder="1" applyAlignment="1" applyProtection="1">
      <alignment horizontal="center" vertical="top"/>
    </xf>
    <xf numFmtId="0" fontId="14" fillId="9" borderId="0" xfId="1" applyFont="1" applyFill="1" applyBorder="1" applyAlignment="1" applyProtection="1">
      <alignment horizontal="right" vertical="center"/>
      <protection locked="0"/>
    </xf>
    <xf numFmtId="0" fontId="219" fillId="9" borderId="0" xfId="1" applyFont="1" applyFill="1" applyAlignment="1" applyProtection="1">
      <alignment horizontal="center" vertical="top"/>
    </xf>
    <xf numFmtId="0" fontId="3" fillId="9" borderId="0" xfId="0" applyFont="1" applyFill="1" applyBorder="1" applyAlignment="1" applyProtection="1">
      <alignment horizontal="center" vertical="top"/>
    </xf>
    <xf numFmtId="0" fontId="3" fillId="9" borderId="0" xfId="0" applyFont="1" applyFill="1" applyBorder="1" applyAlignment="1" applyProtection="1">
      <alignment horizontal="left" vertical="top"/>
    </xf>
    <xf numFmtId="0" fontId="1" fillId="9" borderId="0" xfId="0" applyFont="1" applyFill="1" applyBorder="1" applyAlignment="1" applyProtection="1">
      <alignment vertical="top"/>
    </xf>
    <xf numFmtId="0" fontId="21" fillId="4" borderId="2" xfId="0" applyFont="1" applyFill="1" applyBorder="1" applyAlignment="1" applyProtection="1">
      <alignment horizontal="center" vertical="center"/>
    </xf>
    <xf numFmtId="180" fontId="3" fillId="5" borderId="1" xfId="0" applyNumberFormat="1" applyFont="1" applyFill="1" applyBorder="1" applyAlignment="1" applyProtection="1">
      <alignment vertical="center"/>
      <protection locked="0"/>
    </xf>
    <xf numFmtId="1" fontId="3" fillId="10" borderId="1" xfId="0" applyNumberFormat="1" applyFont="1" applyFill="1" applyBorder="1" applyAlignment="1" applyProtection="1">
      <alignment vertical="center"/>
      <protection hidden="1"/>
    </xf>
    <xf numFmtId="0" fontId="228" fillId="9" borderId="0" xfId="1" applyFont="1" applyFill="1" applyAlignment="1" applyProtection="1">
      <alignment horizontal="center" vertical="top"/>
      <protection locked="0"/>
    </xf>
    <xf numFmtId="0" fontId="222" fillId="0" borderId="0" xfId="0" applyFont="1" applyAlignment="1"/>
    <xf numFmtId="0" fontId="207" fillId="0" borderId="0" xfId="0" applyFont="1" applyAlignment="1" applyProtection="1">
      <alignment horizontal="center"/>
      <protection locked="0"/>
    </xf>
    <xf numFmtId="0" fontId="9" fillId="9" borderId="0" xfId="0" applyFont="1" applyFill="1" applyBorder="1" applyAlignment="1" applyProtection="1">
      <alignment horizontal="center" vertical="center"/>
    </xf>
    <xf numFmtId="168" fontId="8" fillId="9" borderId="0" xfId="0" applyNumberFormat="1" applyFont="1" applyFill="1" applyBorder="1" applyAlignment="1" applyProtection="1">
      <alignment horizontal="center" vertical="top"/>
    </xf>
    <xf numFmtId="0" fontId="126" fillId="0" borderId="0" xfId="0" applyFont="1" applyAlignment="1">
      <alignment vertical="top"/>
    </xf>
    <xf numFmtId="0" fontId="39" fillId="9" borderId="0" xfId="0" applyFont="1" applyFill="1" applyBorder="1" applyAlignment="1" applyProtection="1">
      <alignment horizontal="right"/>
    </xf>
    <xf numFmtId="0" fontId="22" fillId="9" borderId="0" xfId="0" applyFont="1" applyFill="1" applyBorder="1" applyAlignment="1" applyProtection="1"/>
    <xf numFmtId="0" fontId="72" fillId="9" borderId="0" xfId="0" applyFont="1" applyFill="1" applyBorder="1" applyAlignment="1" applyProtection="1">
      <alignment horizontal="right"/>
    </xf>
    <xf numFmtId="0" fontId="7" fillId="9" borderId="0" xfId="0" applyFont="1" applyFill="1" applyBorder="1" applyAlignment="1">
      <alignment horizontal="center" vertical="top"/>
    </xf>
    <xf numFmtId="2" fontId="131" fillId="6" borderId="4" xfId="0" applyNumberFormat="1" applyFont="1" applyFill="1" applyBorder="1" applyAlignment="1" applyProtection="1">
      <alignment horizontal="center"/>
      <protection hidden="1"/>
    </xf>
    <xf numFmtId="0" fontId="54" fillId="6" borderId="4" xfId="0" applyFont="1" applyFill="1" applyBorder="1" applyAlignment="1">
      <alignment horizontal="center"/>
    </xf>
    <xf numFmtId="0" fontId="173" fillId="6" borderId="3" xfId="0" applyFont="1" applyFill="1" applyBorder="1" applyAlignment="1">
      <alignment horizontal="center" vertical="top"/>
    </xf>
    <xf numFmtId="179" fontId="36" fillId="9" borderId="0" xfId="0" applyNumberFormat="1" applyFont="1" applyFill="1" applyBorder="1" applyAlignment="1">
      <alignment horizontal="center" vertical="center"/>
    </xf>
    <xf numFmtId="0" fontId="29" fillId="8" borderId="40" xfId="0" applyFont="1" applyFill="1" applyBorder="1" applyAlignment="1">
      <alignment horizontal="center" vertical="center"/>
    </xf>
    <xf numFmtId="0" fontId="36" fillId="9" borderId="6" xfId="0" applyFont="1" applyFill="1" applyBorder="1" applyAlignment="1"/>
    <xf numFmtId="0" fontId="141" fillId="9" borderId="0" xfId="0" applyFont="1" applyFill="1" applyBorder="1" applyAlignment="1">
      <alignment vertical="top"/>
    </xf>
    <xf numFmtId="0" fontId="39" fillId="9" borderId="0" xfId="0" applyFont="1" applyFill="1" applyAlignment="1">
      <alignment horizontal="left" vertical="center"/>
    </xf>
    <xf numFmtId="179" fontId="29" fillId="7" borderId="1" xfId="0" applyNumberFormat="1" applyFont="1" applyFill="1" applyBorder="1" applyAlignment="1" applyProtection="1">
      <alignment horizontal="center" vertical="center"/>
      <protection hidden="1"/>
    </xf>
    <xf numFmtId="179" fontId="36" fillId="2" borderId="4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 vertical="top"/>
    </xf>
    <xf numFmtId="0" fontId="21" fillId="4" borderId="9" xfId="0" applyFont="1" applyFill="1" applyBorder="1" applyAlignment="1">
      <alignment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vertical="center"/>
    </xf>
    <xf numFmtId="172" fontId="8" fillId="6" borderId="1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Border="1" applyAlignment="1">
      <alignment horizontal="left"/>
    </xf>
    <xf numFmtId="0" fontId="51" fillId="9" borderId="0" xfId="0" applyFont="1" applyFill="1" applyBorder="1" applyAlignment="1">
      <alignment horizontal="center" vertical="center"/>
    </xf>
    <xf numFmtId="0" fontId="21" fillId="4" borderId="9" xfId="0" applyFont="1" applyFill="1" applyBorder="1" applyAlignment="1" applyProtection="1">
      <alignment horizontal="left" vertical="center"/>
    </xf>
    <xf numFmtId="0" fontId="21" fillId="4" borderId="9" xfId="0" applyFont="1" applyFill="1" applyBorder="1" applyAlignment="1" applyProtection="1">
      <alignment vertical="center"/>
    </xf>
    <xf numFmtId="0" fontId="222" fillId="9" borderId="0" xfId="0" applyFont="1" applyFill="1" applyBorder="1" applyAlignment="1" applyProtection="1">
      <alignment horizontal="right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164" fontId="8" fillId="3" borderId="1" xfId="0" applyNumberFormat="1" applyFont="1" applyFill="1" applyBorder="1" applyAlignment="1" applyProtection="1">
      <alignment horizontal="center" vertical="center"/>
      <protection hidden="1"/>
    </xf>
    <xf numFmtId="0" fontId="225" fillId="9" borderId="38" xfId="1" applyFont="1" applyFill="1" applyBorder="1" applyAlignment="1" applyProtection="1">
      <alignment horizontal="center" vertical="center"/>
    </xf>
    <xf numFmtId="0" fontId="225" fillId="9" borderId="47" xfId="1" applyFont="1" applyFill="1" applyBorder="1" applyAlignment="1" applyProtection="1">
      <alignment horizontal="center" vertical="center"/>
    </xf>
    <xf numFmtId="0" fontId="225" fillId="0" borderId="47" xfId="1" applyFont="1" applyBorder="1" applyAlignment="1" applyProtection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right" vertical="center"/>
    </xf>
    <xf numFmtId="164" fontId="3" fillId="3" borderId="1" xfId="0" applyNumberFormat="1" applyFont="1" applyFill="1" applyBorder="1" applyProtection="1">
      <protection hidden="1"/>
    </xf>
    <xf numFmtId="2" fontId="3" fillId="10" borderId="4" xfId="0" applyNumberFormat="1" applyFont="1" applyFill="1" applyBorder="1" applyAlignment="1">
      <alignment horizontal="center"/>
    </xf>
    <xf numFmtId="0" fontId="30" fillId="7" borderId="10" xfId="0" applyFont="1" applyFill="1" applyBorder="1" applyAlignment="1">
      <alignment horizontal="center"/>
    </xf>
    <xf numFmtId="0" fontId="30" fillId="7" borderId="3" xfId="0" applyFont="1" applyFill="1" applyBorder="1" applyAlignment="1">
      <alignment horizontal="center"/>
    </xf>
    <xf numFmtId="0" fontId="30" fillId="7" borderId="11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 vertical="center"/>
    </xf>
    <xf numFmtId="2" fontId="3" fillId="10" borderId="4" xfId="0" applyNumberFormat="1" applyFont="1" applyFill="1" applyBorder="1" applyAlignment="1" applyProtection="1">
      <alignment horizontal="center" vertical="top"/>
      <protection hidden="1"/>
    </xf>
    <xf numFmtId="2" fontId="3" fillId="10" borderId="3" xfId="0" applyNumberFormat="1" applyFont="1" applyFill="1" applyBorder="1" applyAlignment="1" applyProtection="1">
      <alignment horizontal="center" vertical="top"/>
      <protection hidden="1"/>
    </xf>
    <xf numFmtId="2" fontId="54" fillId="3" borderId="9" xfId="0" applyNumberFormat="1" applyFont="1" applyFill="1" applyBorder="1" applyAlignment="1" applyProtection="1">
      <alignment horizontal="center" vertical="top"/>
      <protection hidden="1"/>
    </xf>
    <xf numFmtId="2" fontId="195" fillId="6" borderId="4" xfId="0" applyNumberFormat="1" applyFont="1" applyFill="1" applyBorder="1" applyAlignment="1" applyProtection="1">
      <alignment horizontal="center" vertical="top"/>
      <protection hidden="1"/>
    </xf>
    <xf numFmtId="2" fontId="131" fillId="6" borderId="4" xfId="0" applyNumberFormat="1" applyFont="1" applyFill="1" applyBorder="1" applyAlignment="1" applyProtection="1">
      <alignment horizontal="center" vertical="top"/>
      <protection hidden="1"/>
    </xf>
    <xf numFmtId="2" fontId="54" fillId="3" borderId="12" xfId="0" applyNumberFormat="1" applyFont="1" applyFill="1" applyBorder="1" applyAlignment="1" applyProtection="1">
      <alignment horizontal="center" vertical="top"/>
      <protection hidden="1"/>
    </xf>
    <xf numFmtId="2" fontId="195" fillId="6" borderId="3" xfId="0" applyNumberFormat="1" applyFont="1" applyFill="1" applyBorder="1" applyAlignment="1" applyProtection="1">
      <alignment horizontal="center" vertical="top"/>
      <protection hidden="1"/>
    </xf>
    <xf numFmtId="2" fontId="131" fillId="6" borderId="3" xfId="0" applyNumberFormat="1" applyFont="1" applyFill="1" applyBorder="1" applyAlignment="1" applyProtection="1">
      <alignment horizontal="center" vertical="top"/>
      <protection hidden="1"/>
    </xf>
    <xf numFmtId="49" fontId="9" fillId="9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4" fillId="9" borderId="0" xfId="0" applyFont="1" applyFill="1" applyBorder="1" applyAlignment="1">
      <alignment horizontal="left" vertical="center"/>
    </xf>
    <xf numFmtId="0" fontId="14" fillId="9" borderId="0" xfId="0" applyFont="1" applyFill="1" applyAlignment="1">
      <alignment vertical="center"/>
    </xf>
    <xf numFmtId="0" fontId="93" fillId="9" borderId="0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9" fillId="9" borderId="0" xfId="0" applyFont="1" applyFill="1" applyAlignment="1">
      <alignment vertical="center"/>
    </xf>
    <xf numFmtId="0" fontId="9" fillId="9" borderId="9" xfId="0" applyFont="1" applyFill="1" applyBorder="1" applyAlignment="1">
      <alignment vertical="center"/>
    </xf>
    <xf numFmtId="0" fontId="244" fillId="0" borderId="0" xfId="0" applyFont="1"/>
    <xf numFmtId="0" fontId="29" fillId="7" borderId="35" xfId="0" applyFont="1" applyFill="1" applyBorder="1" applyAlignment="1">
      <alignment horizontal="right" vertical="center"/>
    </xf>
    <xf numFmtId="0" fontId="29" fillId="0" borderId="68" xfId="0" applyFont="1" applyFill="1" applyBorder="1" applyAlignment="1">
      <alignment horizontal="center" vertical="center"/>
    </xf>
    <xf numFmtId="0" fontId="36" fillId="8" borderId="40" xfId="0" applyFont="1" applyFill="1" applyBorder="1" applyAlignment="1">
      <alignment horizontal="center" vertical="center"/>
    </xf>
    <xf numFmtId="0" fontId="36" fillId="9" borderId="82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top"/>
    </xf>
    <xf numFmtId="0" fontId="146" fillId="9" borderId="0" xfId="0" applyFont="1" applyFill="1" applyBorder="1" applyAlignment="1" applyProtection="1"/>
    <xf numFmtId="0" fontId="185" fillId="9" borderId="0" xfId="0" applyFont="1" applyFill="1" applyBorder="1" applyAlignment="1" applyProtection="1">
      <alignment horizontal="left"/>
    </xf>
    <xf numFmtId="0" fontId="148" fillId="9" borderId="0" xfId="1" applyFont="1" applyFill="1" applyBorder="1" applyAlignment="1" applyProtection="1">
      <alignment horizontal="left"/>
    </xf>
    <xf numFmtId="0" fontId="5" fillId="9" borderId="11" xfId="0" applyFont="1" applyFill="1" applyBorder="1" applyAlignment="1" applyProtection="1">
      <alignment vertical="center"/>
    </xf>
    <xf numFmtId="0" fontId="146" fillId="9" borderId="0" xfId="0" applyFont="1" applyFill="1" applyBorder="1" applyAlignment="1">
      <alignment vertical="center"/>
    </xf>
    <xf numFmtId="11" fontId="185" fillId="9" borderId="0" xfId="0" applyNumberFormat="1" applyFont="1" applyFill="1" applyBorder="1" applyAlignment="1">
      <alignment horizontal="left" vertical="center"/>
    </xf>
    <xf numFmtId="0" fontId="203" fillId="9" borderId="0" xfId="1" applyFont="1" applyFill="1" applyBorder="1" applyAlignment="1" applyProtection="1">
      <alignment horizontal="center" vertical="center"/>
    </xf>
    <xf numFmtId="0" fontId="185" fillId="9" borderId="0" xfId="0" applyFont="1" applyFill="1" applyBorder="1" applyAlignment="1">
      <alignment vertical="center"/>
    </xf>
    <xf numFmtId="0" fontId="146" fillId="9" borderId="0" xfId="1" applyFont="1" applyFill="1" applyBorder="1" applyAlignment="1" applyProtection="1">
      <alignment vertical="center"/>
    </xf>
    <xf numFmtId="176" fontId="8" fillId="7" borderId="1" xfId="0" applyNumberFormat="1" applyFont="1" applyFill="1" applyBorder="1" applyAlignment="1">
      <alignment horizontal="center" vertical="center"/>
    </xf>
    <xf numFmtId="0" fontId="36" fillId="9" borderId="0" xfId="0" applyFont="1" applyFill="1" applyAlignment="1">
      <alignment horizontal="center"/>
    </xf>
    <xf numFmtId="0" fontId="6" fillId="9" borderId="0" xfId="0" applyFont="1" applyFill="1" applyBorder="1" applyAlignment="1">
      <alignment horizontal="center" vertical="top"/>
    </xf>
    <xf numFmtId="0" fontId="20" fillId="9" borderId="0" xfId="0" applyFont="1" applyFill="1" applyBorder="1" applyAlignment="1">
      <alignment horizontal="right" vertical="top"/>
    </xf>
    <xf numFmtId="0" fontId="3" fillId="6" borderId="2" xfId="0" applyFont="1" applyFill="1" applyBorder="1" applyAlignment="1">
      <alignment vertical="top"/>
    </xf>
    <xf numFmtId="0" fontId="6" fillId="10" borderId="2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/>
      <protection hidden="1"/>
    </xf>
    <xf numFmtId="0" fontId="219" fillId="9" borderId="0" xfId="1" applyFont="1" applyFill="1" applyAlignment="1" applyProtection="1">
      <alignment horizontal="left" vertical="top"/>
    </xf>
    <xf numFmtId="185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3" fillId="2" borderId="1" xfId="0" applyNumberFormat="1" applyFont="1" applyFill="1" applyBorder="1"/>
    <xf numFmtId="179" fontId="36" fillId="2" borderId="82" xfId="0" applyNumberFormat="1" applyFont="1" applyFill="1" applyBorder="1" applyAlignment="1">
      <alignment horizontal="center" vertical="center"/>
    </xf>
    <xf numFmtId="0" fontId="36" fillId="8" borderId="0" xfId="0" applyFont="1" applyFill="1" applyBorder="1" applyAlignment="1">
      <alignment horizontal="center" vertical="center"/>
    </xf>
    <xf numFmtId="0" fontId="0" fillId="9" borderId="55" xfId="0" applyFill="1" applyBorder="1" applyAlignment="1">
      <alignment horizontal="center" vertical="center"/>
    </xf>
    <xf numFmtId="0" fontId="36" fillId="8" borderId="11" xfId="0" applyFont="1" applyFill="1" applyBorder="1" applyAlignment="1">
      <alignment horizontal="center" vertical="center"/>
    </xf>
    <xf numFmtId="0" fontId="245" fillId="0" borderId="53" xfId="0" applyFont="1" applyFill="1" applyBorder="1" applyAlignment="1">
      <alignment horizontal="center" vertical="center"/>
    </xf>
    <xf numFmtId="0" fontId="36" fillId="9" borderId="34" xfId="0" applyFont="1" applyFill="1" applyBorder="1" applyAlignment="1">
      <alignment horizontal="center" vertical="center"/>
    </xf>
    <xf numFmtId="0" fontId="36" fillId="0" borderId="83" xfId="0" applyFont="1" applyFill="1" applyBorder="1" applyAlignment="1">
      <alignment horizontal="center" vertical="center"/>
    </xf>
    <xf numFmtId="0" fontId="29" fillId="8" borderId="82" xfId="0" applyFont="1" applyFill="1" applyBorder="1" applyAlignment="1">
      <alignment horizontal="center" vertical="center"/>
    </xf>
    <xf numFmtId="0" fontId="36" fillId="8" borderId="46" xfId="0" applyFont="1" applyFill="1" applyBorder="1" applyAlignment="1">
      <alignment horizontal="center" vertical="center"/>
    </xf>
    <xf numFmtId="179" fontId="36" fillId="2" borderId="71" xfId="0" applyNumberFormat="1" applyFont="1" applyFill="1" applyBorder="1" applyAlignment="1">
      <alignment horizontal="center" vertical="center"/>
    </xf>
    <xf numFmtId="0" fontId="29" fillId="8" borderId="84" xfId="0" applyFont="1" applyFill="1" applyBorder="1" applyAlignment="1">
      <alignment horizontal="center" vertical="center"/>
    </xf>
    <xf numFmtId="0" fontId="3" fillId="9" borderId="85" xfId="0" applyFont="1" applyFill="1" applyBorder="1" applyAlignment="1">
      <alignment vertical="center"/>
    </xf>
    <xf numFmtId="0" fontId="3" fillId="9" borderId="51" xfId="0" applyFont="1" applyFill="1" applyBorder="1" applyAlignment="1">
      <alignment horizontal="left"/>
    </xf>
    <xf numFmtId="0" fontId="36" fillId="8" borderId="86" xfId="0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4" fillId="9" borderId="3" xfId="0" applyFont="1" applyFill="1" applyBorder="1" applyAlignment="1">
      <alignment horizontal="center" vertical="center"/>
    </xf>
    <xf numFmtId="179" fontId="14" fillId="9" borderId="3" xfId="0" applyNumberFormat="1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right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87" xfId="0" applyFont="1" applyFill="1" applyBorder="1" applyAlignment="1">
      <alignment vertical="center"/>
    </xf>
    <xf numFmtId="0" fontId="14" fillId="9" borderId="69" xfId="0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right" vertical="center"/>
    </xf>
    <xf numFmtId="179" fontId="14" fillId="9" borderId="22" xfId="0" applyNumberFormat="1" applyFont="1" applyFill="1" applyBorder="1" applyAlignment="1">
      <alignment horizontal="center" vertical="center"/>
    </xf>
    <xf numFmtId="0" fontId="14" fillId="9" borderId="22" xfId="0" applyFont="1" applyFill="1" applyBorder="1" applyAlignment="1">
      <alignment horizontal="center" vertical="center"/>
    </xf>
    <xf numFmtId="0" fontId="26" fillId="9" borderId="63" xfId="0" applyFont="1" applyFill="1" applyBorder="1" applyAlignment="1">
      <alignment vertical="center"/>
    </xf>
    <xf numFmtId="0" fontId="29" fillId="9" borderId="58" xfId="0" applyFont="1" applyFill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80" xfId="0" applyFont="1" applyFill="1" applyBorder="1" applyAlignment="1"/>
    <xf numFmtId="0" fontId="6" fillId="13" borderId="21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/>
    </xf>
    <xf numFmtId="174" fontId="36" fillId="2" borderId="43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6" fillId="9" borderId="0" xfId="0" applyFont="1" applyFill="1" applyBorder="1" applyAlignment="1">
      <alignment horizontal="center" vertical="top"/>
    </xf>
    <xf numFmtId="0" fontId="6" fillId="10" borderId="2" xfId="0" applyFont="1" applyFill="1" applyBorder="1"/>
    <xf numFmtId="0" fontId="50" fillId="9" borderId="0" xfId="0" applyFont="1" applyFill="1" applyBorder="1" applyAlignment="1" applyProtection="1">
      <alignment horizontal="center" vertical="top"/>
    </xf>
    <xf numFmtId="0" fontId="50" fillId="9" borderId="0" xfId="0" applyFont="1" applyFill="1" applyBorder="1" applyAlignment="1" applyProtection="1">
      <alignment horizontal="center"/>
    </xf>
    <xf numFmtId="0" fontId="8" fillId="9" borderId="0" xfId="0" applyFont="1" applyFill="1" applyBorder="1" applyAlignment="1" applyProtection="1">
      <alignment horizontal="left" vertical="top"/>
    </xf>
    <xf numFmtId="0" fontId="2" fillId="9" borderId="0" xfId="0" applyFont="1" applyFill="1" applyBorder="1" applyAlignment="1" applyProtection="1">
      <alignment horizontal="left"/>
    </xf>
    <xf numFmtId="0" fontId="0" fillId="9" borderId="0" xfId="0" applyFill="1" applyBorder="1" applyAlignment="1" applyProtection="1">
      <protection locked="0"/>
    </xf>
    <xf numFmtId="0" fontId="3" fillId="9" borderId="6" xfId="0" applyFont="1" applyFill="1" applyBorder="1" applyProtection="1"/>
    <xf numFmtId="167" fontId="3" fillId="9" borderId="7" xfId="0" applyNumberFormat="1" applyFont="1" applyFill="1" applyBorder="1" applyAlignment="1" applyProtection="1">
      <alignment horizontal="right"/>
    </xf>
    <xf numFmtId="0" fontId="0" fillId="9" borderId="0" xfId="0" applyFill="1" applyAlignment="1"/>
    <xf numFmtId="0" fontId="120" fillId="9" borderId="0" xfId="0" applyFont="1" applyFill="1" applyBorder="1" applyAlignment="1">
      <alignment horizontal="right"/>
    </xf>
    <xf numFmtId="2" fontId="29" fillId="7" borderId="13" xfId="0" applyNumberFormat="1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45" fillId="9" borderId="0" xfId="1" applyFont="1" applyFill="1" applyBorder="1" applyAlignment="1" applyProtection="1">
      <alignment vertical="center"/>
    </xf>
    <xf numFmtId="0" fontId="45" fillId="9" borderId="0" xfId="1" applyFont="1" applyFill="1" applyBorder="1" applyAlignment="1" applyProtection="1">
      <alignment horizontal="center" vertical="center"/>
    </xf>
    <xf numFmtId="0" fontId="29" fillId="9" borderId="0" xfId="0" applyFont="1" applyFill="1" applyAlignment="1">
      <alignment horizontal="right"/>
    </xf>
    <xf numFmtId="0" fontId="247" fillId="5" borderId="13" xfId="0" applyFont="1" applyFill="1" applyBorder="1" applyAlignment="1" applyProtection="1">
      <alignment horizontal="center"/>
    </xf>
    <xf numFmtId="0" fontId="21" fillId="9" borderId="0" xfId="0" applyFont="1" applyFill="1" applyAlignment="1">
      <alignment horizontal="left" vertical="center"/>
    </xf>
    <xf numFmtId="172" fontId="3" fillId="6" borderId="1" xfId="0" applyNumberFormat="1" applyFont="1" applyFill="1" applyBorder="1" applyProtection="1">
      <protection hidden="1"/>
    </xf>
    <xf numFmtId="166" fontId="3" fillId="10" borderId="1" xfId="0" applyNumberFormat="1" applyFont="1" applyFill="1" applyBorder="1" applyAlignment="1" applyProtection="1">
      <alignment horizontal="right" vertical="center"/>
      <protection hidden="1"/>
    </xf>
    <xf numFmtId="0" fontId="44" fillId="9" borderId="0" xfId="0" applyFont="1" applyFill="1" applyBorder="1" applyAlignment="1" applyProtection="1">
      <alignment vertical="top"/>
    </xf>
    <xf numFmtId="0" fontId="20" fillId="9" borderId="0" xfId="0" applyFont="1" applyFill="1" applyBorder="1" applyAlignment="1" applyProtection="1">
      <alignment vertical="top"/>
    </xf>
    <xf numFmtId="170" fontId="3" fillId="0" borderId="0" xfId="0" applyNumberFormat="1" applyFont="1" applyAlignment="1">
      <alignment horizontal="center" vertical="top"/>
    </xf>
    <xf numFmtId="0" fontId="9" fillId="9" borderId="0" xfId="0" applyFont="1" applyFill="1" applyAlignment="1">
      <alignment horizontal="right" vertical="center"/>
    </xf>
    <xf numFmtId="0" fontId="37" fillId="0" borderId="0" xfId="1" applyAlignment="1" applyProtection="1"/>
    <xf numFmtId="0" fontId="14" fillId="9" borderId="0" xfId="0" applyFont="1" applyFill="1" applyBorder="1" applyAlignment="1" applyProtection="1">
      <alignment horizontal="center" vertical="center"/>
    </xf>
    <xf numFmtId="0" fontId="50" fillId="9" borderId="0" xfId="0" applyFont="1" applyFill="1" applyBorder="1" applyAlignment="1" applyProtection="1">
      <alignment horizontal="center" vertical="center"/>
    </xf>
    <xf numFmtId="0" fontId="36" fillId="9" borderId="6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4" fillId="9" borderId="0" xfId="0" applyFont="1" applyFill="1" applyBorder="1" applyAlignment="1" applyProtection="1">
      <alignment horizontal="center"/>
    </xf>
    <xf numFmtId="0" fontId="9" fillId="9" borderId="0" xfId="0" applyFont="1" applyFill="1" applyAlignment="1">
      <alignment vertical="top"/>
    </xf>
    <xf numFmtId="0" fontId="9" fillId="9" borderId="0" xfId="0" applyFont="1" applyFill="1" applyAlignment="1">
      <alignment horizontal="left" vertical="top"/>
    </xf>
    <xf numFmtId="0" fontId="9" fillId="9" borderId="0" xfId="0" applyFont="1" applyFill="1" applyAlignment="1">
      <alignment horizontal="right" vertical="top"/>
    </xf>
    <xf numFmtId="0" fontId="233" fillId="9" borderId="0" xfId="1" applyFont="1" applyFill="1" applyAlignment="1" applyProtection="1">
      <protection locked="0"/>
    </xf>
    <xf numFmtId="0" fontId="0" fillId="9" borderId="0" xfId="0" applyFont="1" applyFill="1" applyBorder="1" applyAlignment="1" applyProtection="1"/>
    <xf numFmtId="1" fontId="1" fillId="9" borderId="0" xfId="0" applyNumberFormat="1" applyFont="1" applyFill="1" applyBorder="1" applyAlignment="1" applyProtection="1"/>
    <xf numFmtId="0" fontId="14" fillId="9" borderId="0" xfId="0" applyFont="1" applyFill="1" applyAlignment="1">
      <alignment horizontal="center"/>
    </xf>
    <xf numFmtId="0" fontId="12" fillId="9" borderId="0" xfId="0" applyFont="1" applyFill="1" applyAlignment="1">
      <alignment horizontal="right" vertical="top"/>
    </xf>
    <xf numFmtId="2" fontId="3" fillId="6" borderId="3" xfId="0" applyNumberFormat="1" applyFont="1" applyFill="1" applyBorder="1" applyProtection="1"/>
    <xf numFmtId="0" fontId="39" fillId="9" borderId="0" xfId="0" applyFont="1" applyFill="1" applyAlignment="1">
      <alignment horizontal="center" vertical="top"/>
    </xf>
    <xf numFmtId="0" fontId="107" fillId="9" borderId="0" xfId="0" applyFont="1" applyFill="1" applyAlignment="1">
      <alignment vertical="top"/>
    </xf>
    <xf numFmtId="0" fontId="6" fillId="8" borderId="40" xfId="0" applyFont="1" applyFill="1" applyBorder="1" applyAlignment="1">
      <alignment horizontal="center" vertical="top"/>
    </xf>
    <xf numFmtId="0" fontId="6" fillId="8" borderId="36" xfId="0" applyFont="1" applyFill="1" applyBorder="1" applyAlignment="1">
      <alignment horizontal="center" vertical="top"/>
    </xf>
    <xf numFmtId="0" fontId="6" fillId="8" borderId="4" xfId="0" applyFont="1" applyFill="1" applyBorder="1" applyAlignment="1">
      <alignment horizontal="center" vertical="top"/>
    </xf>
    <xf numFmtId="0" fontId="6" fillId="8" borderId="10" xfId="0" applyFont="1" applyFill="1" applyBorder="1" applyAlignment="1">
      <alignment horizontal="center" vertical="top"/>
    </xf>
    <xf numFmtId="0" fontId="36" fillId="8" borderId="10" xfId="0" applyFont="1" applyFill="1" applyBorder="1" applyAlignment="1">
      <alignment horizontal="center" vertical="top"/>
    </xf>
    <xf numFmtId="0" fontId="36" fillId="8" borderId="3" xfId="0" applyFont="1" applyFill="1" applyBorder="1" applyAlignment="1">
      <alignment horizontal="center" vertical="top"/>
    </xf>
    <xf numFmtId="0" fontId="36" fillId="8" borderId="8" xfId="0" applyFont="1" applyFill="1" applyBorder="1" applyAlignment="1">
      <alignment horizontal="center" vertical="top"/>
    </xf>
    <xf numFmtId="0" fontId="72" fillId="8" borderId="5" xfId="0" applyFont="1" applyFill="1" applyBorder="1" applyAlignment="1">
      <alignment horizontal="right"/>
    </xf>
    <xf numFmtId="0" fontId="36" fillId="8" borderId="7" xfId="0" applyFont="1" applyFill="1" applyBorder="1" applyAlignment="1" applyProtection="1">
      <alignment horizontal="center" vertical="top"/>
    </xf>
    <xf numFmtId="0" fontId="29" fillId="8" borderId="8" xfId="0" applyFont="1" applyFill="1" applyBorder="1" applyAlignment="1" applyProtection="1">
      <alignment horizontal="right"/>
    </xf>
    <xf numFmtId="0" fontId="29" fillId="8" borderId="9" xfId="0" applyFont="1" applyFill="1" applyBorder="1" applyAlignment="1" applyProtection="1">
      <alignment horizontal="left"/>
    </xf>
    <xf numFmtId="0" fontId="21" fillId="8" borderId="8" xfId="0" applyFont="1" applyFill="1" applyBorder="1" applyAlignment="1" applyProtection="1">
      <alignment horizontal="right"/>
    </xf>
    <xf numFmtId="0" fontId="21" fillId="8" borderId="9" xfId="0" applyFont="1" applyFill="1" applyBorder="1" applyAlignment="1" applyProtection="1">
      <alignment horizontal="left"/>
    </xf>
    <xf numFmtId="0" fontId="29" fillId="8" borderId="10" xfId="0" applyFont="1" applyFill="1" applyBorder="1" applyAlignment="1">
      <alignment horizontal="right"/>
    </xf>
    <xf numFmtId="0" fontId="20" fillId="8" borderId="11" xfId="0" applyFont="1" applyFill="1" applyBorder="1" applyAlignment="1">
      <alignment horizontal="center"/>
    </xf>
    <xf numFmtId="0" fontId="29" fillId="8" borderId="12" xfId="0" applyFont="1" applyFill="1" applyBorder="1" applyAlignment="1">
      <alignment horizontal="left"/>
    </xf>
    <xf numFmtId="0" fontId="0" fillId="9" borderId="0" xfId="0" applyFill="1" applyAlignment="1">
      <alignment vertical="top"/>
    </xf>
    <xf numFmtId="0" fontId="60" fillId="9" borderId="0" xfId="0" applyFont="1" applyFill="1" applyBorder="1" applyAlignment="1" applyProtection="1">
      <alignment horizontal="center"/>
    </xf>
    <xf numFmtId="0" fontId="21" fillId="8" borderId="6" xfId="0" applyFont="1" applyFill="1" applyBorder="1" applyAlignment="1">
      <alignment horizontal="center" vertical="center"/>
    </xf>
    <xf numFmtId="0" fontId="21" fillId="8" borderId="0" xfId="0" applyFont="1" applyFill="1" applyBorder="1" applyAlignment="1" applyProtection="1">
      <alignment horizontal="center"/>
    </xf>
    <xf numFmtId="167" fontId="7" fillId="9" borderId="6" xfId="0" applyNumberFormat="1" applyFont="1" applyFill="1" applyBorder="1" applyAlignment="1" applyProtection="1">
      <alignment horizontal="right"/>
    </xf>
    <xf numFmtId="0" fontId="43" fillId="9" borderId="0" xfId="0" applyFont="1" applyFill="1" applyBorder="1" applyAlignment="1" applyProtection="1">
      <alignment horizontal="center"/>
    </xf>
    <xf numFmtId="0" fontId="250" fillId="9" borderId="0" xfId="0" applyFont="1" applyFill="1" applyAlignment="1">
      <alignment horizontal="center" vertical="top"/>
    </xf>
    <xf numFmtId="0" fontId="61" fillId="0" borderId="0" xfId="0" applyFont="1" applyAlignment="1">
      <alignment horizontal="center"/>
    </xf>
    <xf numFmtId="1" fontId="21" fillId="9" borderId="0" xfId="0" applyNumberFormat="1" applyFont="1" applyFill="1" applyBorder="1" applyAlignment="1" applyProtection="1">
      <alignment horizontal="center"/>
    </xf>
    <xf numFmtId="0" fontId="43" fillId="9" borderId="0" xfId="0" applyFont="1" applyFill="1" applyAlignment="1">
      <alignment horizontal="center" vertical="top"/>
    </xf>
    <xf numFmtId="0" fontId="234" fillId="9" borderId="6" xfId="0" applyFont="1" applyFill="1" applyBorder="1"/>
    <xf numFmtId="0" fontId="5" fillId="9" borderId="11" xfId="0" applyFont="1" applyFill="1" applyBorder="1" applyAlignment="1">
      <alignment vertical="top"/>
    </xf>
    <xf numFmtId="0" fontId="185" fillId="9" borderId="6" xfId="0" applyFont="1" applyFill="1" applyBorder="1"/>
    <xf numFmtId="0" fontId="203" fillId="0" borderId="6" xfId="1" applyFont="1" applyBorder="1" applyAlignment="1" applyProtection="1">
      <alignment horizontal="center"/>
    </xf>
    <xf numFmtId="0" fontId="6" fillId="9" borderId="0" xfId="0" applyFont="1" applyFill="1" applyBorder="1" applyAlignment="1">
      <alignment horizontal="left" vertical="top"/>
    </xf>
    <xf numFmtId="0" fontId="95" fillId="9" borderId="0" xfId="0" applyFont="1" applyFill="1" applyAlignment="1">
      <alignment vertical="top"/>
    </xf>
    <xf numFmtId="0" fontId="175" fillId="9" borderId="11" xfId="0" applyFont="1" applyFill="1" applyBorder="1" applyAlignment="1">
      <alignment horizontal="left" vertical="top"/>
    </xf>
    <xf numFmtId="0" fontId="146" fillId="9" borderId="0" xfId="0" applyFont="1" applyFill="1" applyBorder="1" applyAlignment="1">
      <alignment horizontal="center" vertical="top"/>
    </xf>
    <xf numFmtId="0" fontId="126" fillId="9" borderId="11" xfId="0" applyFont="1" applyFill="1" applyBorder="1" applyAlignment="1">
      <alignment vertical="top"/>
    </xf>
    <xf numFmtId="0" fontId="183" fillId="9" borderId="11" xfId="1" applyFont="1" applyFill="1" applyBorder="1" applyAlignment="1" applyProtection="1">
      <alignment horizontal="center" vertical="top"/>
    </xf>
    <xf numFmtId="0" fontId="126" fillId="0" borderId="11" xfId="0" applyFont="1" applyBorder="1"/>
    <xf numFmtId="0" fontId="14" fillId="9" borderId="0" xfId="0" applyFont="1" applyFill="1" applyAlignment="1">
      <alignment horizontal="center" vertical="top"/>
    </xf>
    <xf numFmtId="0" fontId="3" fillId="0" borderId="0" xfId="0" applyFont="1" applyBorder="1" applyAlignment="1" applyProtection="1">
      <alignment horizontal="center"/>
      <protection locked="0"/>
    </xf>
    <xf numFmtId="175" fontId="3" fillId="9" borderId="0" xfId="0" applyNumberFormat="1" applyFont="1" applyFill="1" applyBorder="1" applyAlignment="1" applyProtection="1">
      <alignment vertical="center"/>
      <protection hidden="1"/>
    </xf>
    <xf numFmtId="0" fontId="29" fillId="9" borderId="6" xfId="0" applyFont="1" applyFill="1" applyBorder="1" applyAlignment="1"/>
    <xf numFmtId="0" fontId="3" fillId="0" borderId="6" xfId="0" applyFont="1" applyBorder="1" applyAlignment="1"/>
    <xf numFmtId="2" fontId="67" fillId="9" borderId="6" xfId="0" applyNumberFormat="1" applyFont="1" applyFill="1" applyBorder="1" applyAlignment="1">
      <alignment horizontal="right"/>
    </xf>
    <xf numFmtId="0" fontId="131" fillId="9" borderId="0" xfId="0" applyFont="1" applyFill="1" applyBorder="1" applyAlignment="1">
      <alignment horizontal="center"/>
    </xf>
    <xf numFmtId="0" fontId="131" fillId="9" borderId="0" xfId="0" applyFont="1" applyFill="1" applyAlignment="1">
      <alignment horizontal="center"/>
    </xf>
    <xf numFmtId="0" fontId="67" fillId="9" borderId="0" xfId="0" applyFont="1" applyFill="1" applyBorder="1"/>
    <xf numFmtId="165" fontId="67" fillId="9" borderId="0" xfId="0" applyNumberFormat="1" applyFont="1" applyFill="1" applyBorder="1" applyAlignment="1">
      <alignment horizontal="right"/>
    </xf>
    <xf numFmtId="0" fontId="131" fillId="9" borderId="0" xfId="0" applyFont="1" applyFill="1" applyBorder="1"/>
    <xf numFmtId="0" fontId="67" fillId="8" borderId="1" xfId="0" applyFont="1" applyFill="1" applyBorder="1" applyAlignment="1">
      <alignment horizontal="center"/>
    </xf>
    <xf numFmtId="0" fontId="67" fillId="8" borderId="33" xfId="0" applyFont="1" applyFill="1" applyBorder="1" applyAlignment="1">
      <alignment horizontal="center"/>
    </xf>
    <xf numFmtId="165" fontId="67" fillId="8" borderId="1" xfId="0" applyNumberFormat="1" applyFont="1" applyFill="1" applyBorder="1" applyAlignment="1">
      <alignment horizontal="center"/>
    </xf>
    <xf numFmtId="11" fontId="67" fillId="8" borderId="1" xfId="0" applyNumberFormat="1" applyFont="1" applyFill="1" applyBorder="1" applyAlignment="1">
      <alignment horizontal="center"/>
    </xf>
    <xf numFmtId="2" fontId="67" fillId="8" borderId="1" xfId="0" applyNumberFormat="1" applyFont="1" applyFill="1" applyBorder="1" applyAlignment="1">
      <alignment horizontal="center"/>
    </xf>
    <xf numFmtId="171" fontId="67" fillId="8" borderId="1" xfId="0" applyNumberFormat="1" applyFont="1" applyFill="1" applyBorder="1" applyAlignment="1">
      <alignment horizontal="center"/>
    </xf>
    <xf numFmtId="11" fontId="3" fillId="9" borderId="0" xfId="0" applyNumberFormat="1" applyFont="1" applyFill="1" applyBorder="1" applyAlignment="1" applyProtection="1">
      <alignment vertical="center"/>
    </xf>
    <xf numFmtId="0" fontId="16" fillId="9" borderId="0" xfId="0" applyFont="1" applyFill="1" applyBorder="1" applyAlignment="1" applyProtection="1">
      <alignment horizontal="left"/>
    </xf>
    <xf numFmtId="0" fontId="54" fillId="9" borderId="0" xfId="0" applyFont="1" applyFill="1" applyBorder="1" applyAlignment="1" applyProtection="1">
      <alignment horizontal="left"/>
    </xf>
    <xf numFmtId="11" fontId="8" fillId="4" borderId="1" xfId="0" applyNumberFormat="1" applyFont="1" applyFill="1" applyBorder="1" applyAlignment="1">
      <alignment vertical="center"/>
    </xf>
    <xf numFmtId="0" fontId="251" fillId="9" borderId="0" xfId="0" applyFont="1" applyFill="1" applyAlignment="1">
      <alignment vertical="center"/>
    </xf>
    <xf numFmtId="0" fontId="21" fillId="0" borderId="0" xfId="0" applyFont="1" applyAlignment="1"/>
    <xf numFmtId="11" fontId="3" fillId="4" borderId="1" xfId="0" applyNumberFormat="1" applyFont="1" applyFill="1" applyBorder="1" applyAlignment="1">
      <alignment vertical="center"/>
    </xf>
    <xf numFmtId="0" fontId="16" fillId="9" borderId="0" xfId="0" applyFont="1" applyFill="1" applyAlignment="1">
      <alignment vertical="center"/>
    </xf>
    <xf numFmtId="0" fontId="5" fillId="4" borderId="5" xfId="0" applyFont="1" applyFill="1" applyBorder="1" applyAlignment="1">
      <alignment horizontal="right" vertical="center"/>
    </xf>
    <xf numFmtId="0" fontId="21" fillId="4" borderId="3" xfId="0" applyFont="1" applyFill="1" applyBorder="1" applyAlignment="1">
      <alignment horizontal="center" vertical="top"/>
    </xf>
    <xf numFmtId="172" fontId="3" fillId="6" borderId="1" xfId="0" applyNumberFormat="1" applyFont="1" applyFill="1" applyBorder="1" applyAlignment="1" applyProtection="1">
      <protection hidden="1"/>
    </xf>
    <xf numFmtId="0" fontId="110" fillId="9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1" fillId="4" borderId="12" xfId="0" applyFont="1" applyFill="1" applyBorder="1" applyAlignment="1" applyProtection="1">
      <alignment vertical="top"/>
    </xf>
    <xf numFmtId="0" fontId="21" fillId="4" borderId="10" xfId="0" applyFont="1" applyFill="1" applyBorder="1" applyAlignment="1" applyProtection="1">
      <alignment vertical="center"/>
    </xf>
    <xf numFmtId="0" fontId="228" fillId="9" borderId="0" xfId="1" applyFont="1" applyFill="1" applyAlignment="1" applyProtection="1">
      <alignment horizontal="right" vertical="top"/>
    </xf>
    <xf numFmtId="0" fontId="156" fillId="9" borderId="0" xfId="0" applyFont="1" applyFill="1" applyBorder="1" applyAlignment="1">
      <alignment vertical="top"/>
    </xf>
    <xf numFmtId="0" fontId="156" fillId="0" borderId="0" xfId="0" applyFont="1" applyAlignment="1">
      <alignment horizontal="left" vertical="top"/>
    </xf>
    <xf numFmtId="0" fontId="110" fillId="9" borderId="0" xfId="0" applyFont="1" applyFill="1" applyBorder="1" applyAlignment="1">
      <alignment horizontal="center"/>
    </xf>
    <xf numFmtId="0" fontId="228" fillId="0" borderId="0" xfId="1" applyFont="1" applyAlignment="1" applyProtection="1">
      <alignment horizontal="center" vertical="top"/>
    </xf>
    <xf numFmtId="0" fontId="110" fillId="9" borderId="0" xfId="0" applyFont="1" applyFill="1" applyAlignment="1" applyProtection="1">
      <alignment vertical="top"/>
    </xf>
    <xf numFmtId="0" fontId="36" fillId="4" borderId="7" xfId="0" applyFont="1" applyFill="1" applyBorder="1" applyAlignment="1">
      <alignment horizontal="left"/>
    </xf>
    <xf numFmtId="0" fontId="36" fillId="4" borderId="9" xfId="0" applyFont="1" applyFill="1" applyBorder="1" applyAlignment="1">
      <alignment horizontal="center"/>
    </xf>
    <xf numFmtId="0" fontId="155" fillId="9" borderId="0" xfId="1" applyFont="1" applyFill="1" applyBorder="1" applyAlignment="1" applyProtection="1">
      <alignment horizontal="right" vertical="top"/>
    </xf>
    <xf numFmtId="0" fontId="146" fillId="9" borderId="0" xfId="0" applyFont="1" applyFill="1" applyAlignment="1">
      <alignment vertical="top"/>
    </xf>
    <xf numFmtId="0" fontId="126" fillId="9" borderId="0" xfId="0" applyFont="1" applyFill="1" applyAlignment="1">
      <alignment vertical="top"/>
    </xf>
    <xf numFmtId="0" fontId="126" fillId="9" borderId="0" xfId="0" applyFont="1" applyFill="1" applyBorder="1" applyAlignment="1">
      <alignment vertical="top"/>
    </xf>
    <xf numFmtId="0" fontId="67" fillId="9" borderId="0" xfId="0" applyFont="1" applyFill="1" applyBorder="1" applyAlignment="1">
      <alignment horizontal="center" vertical="center"/>
    </xf>
    <xf numFmtId="0" fontId="150" fillId="9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right" vertical="top"/>
    </xf>
    <xf numFmtId="0" fontId="2" fillId="9" borderId="6" xfId="0" applyFont="1" applyFill="1" applyBorder="1" applyAlignment="1">
      <alignment horizontal="right" vertical="top"/>
    </xf>
    <xf numFmtId="0" fontId="2" fillId="9" borderId="6" xfId="0" applyFont="1" applyFill="1" applyBorder="1" applyAlignment="1">
      <alignment horizontal="right"/>
    </xf>
    <xf numFmtId="0" fontId="148" fillId="9" borderId="0" xfId="1" applyFont="1" applyFill="1" applyAlignment="1" applyProtection="1">
      <alignment horizontal="center" vertical="top"/>
    </xf>
    <xf numFmtId="0" fontId="155" fillId="9" borderId="0" xfId="1" applyFont="1" applyFill="1" applyAlignment="1" applyProtection="1">
      <alignment horizontal="center" vertical="top"/>
    </xf>
    <xf numFmtId="0" fontId="182" fillId="9" borderId="0" xfId="1" applyFont="1" applyFill="1" applyBorder="1" applyAlignment="1" applyProtection="1">
      <alignment horizontal="center"/>
    </xf>
    <xf numFmtId="0" fontId="134" fillId="9" borderId="0" xfId="0" applyFont="1" applyFill="1" applyBorder="1"/>
    <xf numFmtId="0" fontId="146" fillId="9" borderId="0" xfId="0" applyFont="1" applyFill="1" applyBorder="1" applyAlignment="1">
      <alignment horizontal="center"/>
    </xf>
    <xf numFmtId="0" fontId="255" fillId="0" borderId="0" xfId="0" applyFont="1" applyProtection="1">
      <protection locked="0"/>
    </xf>
    <xf numFmtId="0" fontId="256" fillId="0" borderId="0" xfId="1" applyFont="1" applyAlignment="1" applyProtection="1">
      <alignment horizontal="center" vertical="center"/>
    </xf>
    <xf numFmtId="0" fontId="235" fillId="0" borderId="0" xfId="1" applyFont="1" applyAlignment="1" applyProtection="1">
      <alignment horizontal="center" vertical="center"/>
    </xf>
    <xf numFmtId="174" fontId="3" fillId="3" borderId="1" xfId="0" applyNumberFormat="1" applyFont="1" applyFill="1" applyBorder="1" applyAlignment="1" applyProtection="1">
      <alignment vertical="center"/>
      <protection hidden="1"/>
    </xf>
    <xf numFmtId="0" fontId="257" fillId="10" borderId="2" xfId="0" applyFont="1" applyFill="1" applyBorder="1"/>
    <xf numFmtId="0" fontId="258" fillId="10" borderId="3" xfId="0" applyFont="1" applyFill="1" applyBorder="1"/>
    <xf numFmtId="0" fontId="3" fillId="14" borderId="1" xfId="0" applyFont="1" applyFill="1" applyBorder="1"/>
    <xf numFmtId="49" fontId="3" fillId="14" borderId="1" xfId="0" applyNumberFormat="1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 vertical="top"/>
    </xf>
    <xf numFmtId="11" fontId="122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5" fontId="3" fillId="0" borderId="0" xfId="0" applyNumberFormat="1" applyFont="1" applyFill="1" applyBorder="1" applyProtection="1">
      <protection hidden="1"/>
    </xf>
    <xf numFmtId="11" fontId="3" fillId="0" borderId="0" xfId="0" applyNumberFormat="1" applyFont="1" applyFill="1" applyBorder="1" applyAlignment="1">
      <alignment horizontal="right"/>
    </xf>
    <xf numFmtId="0" fontId="259" fillId="0" borderId="0" xfId="0" applyFont="1" applyFill="1" applyAlignment="1">
      <alignment horizontal="center" vertical="center"/>
    </xf>
    <xf numFmtId="0" fontId="13" fillId="9" borderId="0" xfId="0" applyFont="1" applyFill="1" applyBorder="1" applyAlignment="1">
      <alignment horizontal="center"/>
    </xf>
    <xf numFmtId="0" fontId="156" fillId="9" borderId="0" xfId="0" applyFont="1" applyFill="1" applyBorder="1" applyAlignment="1">
      <alignment horizontal="right"/>
    </xf>
    <xf numFmtId="0" fontId="129" fillId="0" borderId="0" xfId="0" applyFont="1" applyBorder="1"/>
    <xf numFmtId="0" fontId="205" fillId="9" borderId="0" xfId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2" fontId="8" fillId="6" borderId="1" xfId="0" applyNumberFormat="1" applyFont="1" applyFill="1" applyBorder="1"/>
    <xf numFmtId="2" fontId="29" fillId="9" borderId="0" xfId="0" applyNumberFormat="1" applyFont="1" applyFill="1" applyBorder="1" applyAlignment="1">
      <alignment horizontal="right"/>
    </xf>
    <xf numFmtId="165" fontId="3" fillId="10" borderId="1" xfId="0" applyNumberFormat="1" applyFont="1" applyFill="1" applyBorder="1" applyAlignment="1">
      <alignment horizontal="right"/>
    </xf>
    <xf numFmtId="0" fontId="9" fillId="9" borderId="11" xfId="0" applyFont="1" applyFill="1" applyBorder="1" applyAlignment="1">
      <alignment vertical="top"/>
    </xf>
    <xf numFmtId="0" fontId="36" fillId="9" borderId="6" xfId="0" applyFont="1" applyFill="1" applyBorder="1" applyAlignment="1">
      <alignment horizontal="center"/>
    </xf>
    <xf numFmtId="0" fontId="2" fillId="9" borderId="6" xfId="0" applyFont="1" applyFill="1" applyBorder="1"/>
    <xf numFmtId="0" fontId="3" fillId="9" borderId="0" xfId="0" applyFont="1" applyFill="1" applyBorder="1" applyAlignment="1" applyProtection="1">
      <alignment horizontal="right"/>
      <protection locked="0"/>
    </xf>
    <xf numFmtId="0" fontId="134" fillId="9" borderId="11" xfId="0" applyFont="1" applyFill="1" applyBorder="1" applyAlignment="1">
      <alignment horizontal="right" vertical="center"/>
    </xf>
    <xf numFmtId="0" fontId="184" fillId="9" borderId="1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0" fillId="9" borderId="0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56" fillId="9" borderId="11" xfId="0" applyFont="1" applyFill="1" applyBorder="1" applyAlignment="1">
      <alignment horizontal="right" vertical="top"/>
    </xf>
    <xf numFmtId="0" fontId="0" fillId="9" borderId="12" xfId="0" applyFill="1" applyBorder="1" applyAlignment="1">
      <alignment vertical="top"/>
    </xf>
    <xf numFmtId="0" fontId="29" fillId="9" borderId="0" xfId="0" applyFont="1" applyFill="1" applyBorder="1" applyAlignment="1">
      <alignment horizontal="right" vertical="top"/>
    </xf>
    <xf numFmtId="0" fontId="22" fillId="0" borderId="0" xfId="0" applyFont="1" applyBorder="1" applyAlignment="1"/>
    <xf numFmtId="0" fontId="0" fillId="0" borderId="8" xfId="0" applyFill="1" applyBorder="1"/>
    <xf numFmtId="0" fontId="228" fillId="9" borderId="0" xfId="1" applyFont="1" applyFill="1" applyBorder="1" applyAlignment="1" applyProtection="1">
      <alignment horizontal="center" vertical="top"/>
      <protection locked="0"/>
    </xf>
    <xf numFmtId="0" fontId="228" fillId="9" borderId="0" xfId="1" applyFont="1" applyFill="1" applyAlignment="1" applyProtection="1">
      <alignment horizontal="center" vertical="top"/>
    </xf>
    <xf numFmtId="0" fontId="234" fillId="9" borderId="0" xfId="0" applyFont="1" applyFill="1" applyAlignment="1">
      <alignment vertical="top"/>
    </xf>
    <xf numFmtId="0" fontId="146" fillId="9" borderId="0" xfId="0" applyFont="1" applyFill="1" applyAlignment="1" applyProtection="1">
      <alignment horizontal="left" vertical="top"/>
    </xf>
    <xf numFmtId="0" fontId="9" fillId="0" borderId="0" xfId="0" applyFont="1" applyFill="1" applyAlignment="1">
      <alignment vertical="top"/>
    </xf>
    <xf numFmtId="0" fontId="122" fillId="0" borderId="0" xfId="0" applyFont="1" applyBorder="1" applyAlignment="1">
      <alignment vertical="center"/>
    </xf>
    <xf numFmtId="0" fontId="183" fillId="9" borderId="88" xfId="1" applyFont="1" applyFill="1" applyBorder="1" applyAlignment="1" applyProtection="1">
      <alignment horizontal="center" vertical="center"/>
      <protection locked="0"/>
    </xf>
    <xf numFmtId="0" fontId="254" fillId="5" borderId="89" xfId="1" applyFont="1" applyFill="1" applyBorder="1" applyAlignment="1" applyProtection="1">
      <alignment horizontal="center" vertical="top"/>
      <protection locked="0"/>
    </xf>
    <xf numFmtId="0" fontId="36" fillId="4" borderId="2" xfId="0" applyFont="1" applyFill="1" applyBorder="1" applyAlignment="1" applyProtection="1">
      <alignment horizontal="center"/>
    </xf>
    <xf numFmtId="0" fontId="21" fillId="4" borderId="4" xfId="0" applyFont="1" applyFill="1" applyBorder="1" applyAlignment="1" applyProtection="1">
      <alignment horizontal="center"/>
    </xf>
    <xf numFmtId="0" fontId="21" fillId="4" borderId="3" xfId="0" applyFont="1" applyFill="1" applyBorder="1" applyAlignment="1" applyProtection="1">
      <alignment horizontal="center" vertical="top"/>
    </xf>
    <xf numFmtId="0" fontId="219" fillId="0" borderId="0" xfId="1" applyFont="1" applyAlignment="1" applyProtection="1">
      <alignment horizontal="center" vertical="center"/>
    </xf>
    <xf numFmtId="0" fontId="110" fillId="9" borderId="0" xfId="0" applyFont="1" applyFill="1" applyAlignment="1" applyProtection="1">
      <alignment horizontal="center" vertical="top"/>
    </xf>
    <xf numFmtId="0" fontId="39" fillId="9" borderId="0" xfId="0" applyFont="1" applyFill="1" applyBorder="1" applyAlignment="1">
      <alignment horizontal="center"/>
    </xf>
    <xf numFmtId="0" fontId="31" fillId="9" borderId="0" xfId="0" applyFont="1" applyFill="1" applyBorder="1"/>
    <xf numFmtId="1" fontId="20" fillId="7" borderId="1" xfId="0" applyNumberFormat="1" applyFont="1" applyFill="1" applyBorder="1" applyAlignment="1" applyProtection="1">
      <alignment horizontal="center" vertical="center"/>
    </xf>
    <xf numFmtId="0" fontId="122" fillId="9" borderId="0" xfId="0" applyFont="1" applyFill="1" applyBorder="1" applyAlignment="1" applyProtection="1">
      <alignment horizontal="center"/>
    </xf>
    <xf numFmtId="0" fontId="8" fillId="9" borderId="0" xfId="0" applyFont="1" applyFill="1" applyBorder="1" applyAlignment="1" applyProtection="1">
      <alignment horizontal="right" vertical="top"/>
    </xf>
    <xf numFmtId="0" fontId="233" fillId="9" borderId="0" xfId="0" applyFont="1" applyFill="1" applyBorder="1" applyAlignment="1" applyProtection="1">
      <alignment horizontal="center"/>
    </xf>
    <xf numFmtId="0" fontId="124" fillId="0" borderId="0" xfId="1" applyFont="1" applyBorder="1" applyAlignment="1" applyProtection="1">
      <alignment vertical="center"/>
    </xf>
    <xf numFmtId="0" fontId="3" fillId="0" borderId="14" xfId="0" applyFont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top"/>
    </xf>
    <xf numFmtId="0" fontId="36" fillId="8" borderId="90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 vertical="center"/>
    </xf>
    <xf numFmtId="174" fontId="36" fillId="2" borderId="91" xfId="0" applyNumberFormat="1" applyFont="1" applyFill="1" applyBorder="1" applyAlignment="1">
      <alignment horizontal="center" vertical="center"/>
    </xf>
    <xf numFmtId="0" fontId="3" fillId="8" borderId="77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/>
    </xf>
    <xf numFmtId="0" fontId="156" fillId="9" borderId="0" xfId="0" applyFont="1" applyFill="1" applyBorder="1" applyAlignment="1">
      <alignment horizontal="center" vertical="center"/>
    </xf>
    <xf numFmtId="0" fontId="261" fillId="9" borderId="0" xfId="0" applyFont="1" applyFill="1" applyBorder="1" applyAlignment="1" applyProtection="1">
      <alignment horizontal="center"/>
    </xf>
    <xf numFmtId="0" fontId="215" fillId="0" borderId="0" xfId="1" applyFont="1" applyAlignment="1" applyProtection="1">
      <alignment horizontal="center" vertical="top"/>
    </xf>
    <xf numFmtId="1" fontId="20" fillId="7" borderId="1" xfId="0" applyNumberFormat="1" applyFont="1" applyFill="1" applyBorder="1" applyAlignment="1">
      <alignment horizontal="center"/>
    </xf>
    <xf numFmtId="0" fontId="20" fillId="7" borderId="1" xfId="0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4" borderId="5" xfId="0" applyFont="1" applyFill="1" applyBorder="1" applyAlignment="1" applyProtection="1">
      <alignment horizontal="right"/>
    </xf>
    <xf numFmtId="0" fontId="5" fillId="4" borderId="6" xfId="0" applyFont="1" applyFill="1" applyBorder="1" applyAlignment="1">
      <alignment horizontal="right"/>
    </xf>
    <xf numFmtId="0" fontId="0" fillId="4" borderId="6" xfId="0" applyFont="1" applyFill="1" applyBorder="1" applyProtection="1"/>
    <xf numFmtId="0" fontId="21" fillId="4" borderId="7" xfId="0" applyFont="1" applyFill="1" applyBorder="1" applyAlignment="1" applyProtection="1">
      <alignment horizontal="left"/>
    </xf>
    <xf numFmtId="0" fontId="20" fillId="4" borderId="8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/>
    <xf numFmtId="0" fontId="5" fillId="4" borderId="9" xfId="0" applyFont="1" applyFill="1" applyBorder="1" applyAlignment="1">
      <alignment horizontal="left"/>
    </xf>
    <xf numFmtId="0" fontId="21" fillId="4" borderId="11" xfId="0" applyFont="1" applyFill="1" applyBorder="1" applyAlignment="1" applyProtection="1"/>
    <xf numFmtId="0" fontId="20" fillId="4" borderId="8" xfId="0" applyFont="1" applyFill="1" applyBorder="1" applyAlignment="1" applyProtection="1">
      <alignment horizontal="right"/>
    </xf>
    <xf numFmtId="0" fontId="21" fillId="4" borderId="0" xfId="0" applyFont="1" applyFill="1" applyBorder="1" applyAlignment="1" applyProtection="1"/>
    <xf numFmtId="0" fontId="21" fillId="4" borderId="9" xfId="0" applyFont="1" applyFill="1" applyBorder="1" applyAlignment="1" applyProtection="1">
      <alignment horizontal="left"/>
    </xf>
    <xf numFmtId="0" fontId="20" fillId="4" borderId="10" xfId="0" applyFont="1" applyFill="1" applyBorder="1" applyAlignment="1" applyProtection="1">
      <alignment horizontal="right"/>
    </xf>
    <xf numFmtId="0" fontId="5" fillId="4" borderId="12" xfId="0" applyFont="1" applyFill="1" applyBorder="1" applyAlignment="1" applyProtection="1">
      <alignment horizontal="left"/>
    </xf>
    <xf numFmtId="0" fontId="31" fillId="9" borderId="3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vertical="top"/>
    </xf>
    <xf numFmtId="0" fontId="156" fillId="9" borderId="8" xfId="0" applyFont="1" applyFill="1" applyBorder="1"/>
    <xf numFmtId="0" fontId="156" fillId="9" borderId="0" xfId="0" applyFont="1" applyFill="1" applyBorder="1" applyAlignment="1">
      <alignment horizontal="center"/>
    </xf>
    <xf numFmtId="0" fontId="44" fillId="9" borderId="0" xfId="0" applyFont="1" applyFill="1" applyBorder="1" applyAlignment="1"/>
    <xf numFmtId="0" fontId="156" fillId="9" borderId="0" xfId="0" applyFont="1" applyFill="1" applyBorder="1" applyAlignment="1"/>
    <xf numFmtId="0" fontId="156" fillId="9" borderId="9" xfId="0" applyFont="1" applyFill="1" applyBorder="1"/>
    <xf numFmtId="0" fontId="44" fillId="0" borderId="0" xfId="0" applyFont="1" applyFill="1" applyBorder="1" applyAlignment="1">
      <alignment vertical="center"/>
    </xf>
    <xf numFmtId="0" fontId="156" fillId="0" borderId="0" xfId="0" applyFont="1" applyFill="1"/>
    <xf numFmtId="0" fontId="215" fillId="9" borderId="0" xfId="1" applyFont="1" applyFill="1" applyBorder="1" applyAlignment="1" applyProtection="1">
      <alignment horizontal="center"/>
    </xf>
    <xf numFmtId="0" fontId="219" fillId="9" borderId="0" xfId="1" applyFont="1" applyFill="1" applyBorder="1" applyAlignment="1" applyProtection="1">
      <alignment horizontal="center" vertical="center"/>
    </xf>
    <xf numFmtId="0" fontId="232" fillId="9" borderId="11" xfId="1" applyFont="1" applyFill="1" applyBorder="1" applyAlignment="1" applyProtection="1">
      <alignment horizontal="center" vertical="top"/>
    </xf>
    <xf numFmtId="0" fontId="110" fillId="0" borderId="0" xfId="0" applyFont="1" applyAlignment="1">
      <alignment vertical="top"/>
    </xf>
    <xf numFmtId="0" fontId="234" fillId="9" borderId="11" xfId="0" applyFont="1" applyFill="1" applyBorder="1" applyAlignment="1">
      <alignment vertical="top"/>
    </xf>
    <xf numFmtId="0" fontId="110" fillId="9" borderId="11" xfId="0" applyFont="1" applyFill="1" applyBorder="1" applyAlignment="1">
      <alignment vertical="top"/>
    </xf>
    <xf numFmtId="0" fontId="37" fillId="9" borderId="5" xfId="1" applyFill="1" applyBorder="1" applyAlignment="1" applyProtection="1"/>
    <xf numFmtId="0" fontId="9" fillId="9" borderId="10" xfId="0" applyFont="1" applyFill="1" applyBorder="1" applyAlignment="1">
      <alignment vertical="top"/>
    </xf>
    <xf numFmtId="0" fontId="9" fillId="9" borderId="12" xfId="0" applyFont="1" applyFill="1" applyBorder="1" applyAlignment="1">
      <alignment vertical="top"/>
    </xf>
    <xf numFmtId="0" fontId="235" fillId="9" borderId="11" xfId="1" applyFont="1" applyFill="1" applyBorder="1" applyAlignment="1" applyProtection="1">
      <alignment horizontal="left" vertical="top"/>
    </xf>
    <xf numFmtId="0" fontId="5" fillId="0" borderId="0" xfId="0" applyFont="1" applyAlignment="1">
      <alignment horizontal="center"/>
    </xf>
    <xf numFmtId="0" fontId="30" fillId="9" borderId="0" xfId="0" applyFont="1" applyFill="1" applyBorder="1" applyAlignment="1">
      <alignment horizontal="center"/>
    </xf>
    <xf numFmtId="0" fontId="185" fillId="0" borderId="0" xfId="1" applyFont="1" applyAlignment="1" applyProtection="1">
      <alignment horizontal="center" vertical="center"/>
      <protection locked="0"/>
    </xf>
    <xf numFmtId="0" fontId="203" fillId="0" borderId="0" xfId="1" applyFont="1" applyAlignment="1" applyProtection="1">
      <alignment horizontal="center" vertical="center"/>
      <protection locked="0"/>
    </xf>
    <xf numFmtId="0" fontId="14" fillId="9" borderId="4" xfId="0" applyFont="1" applyFill="1" applyBorder="1" applyAlignment="1">
      <alignment horizontal="center" vertical="top"/>
    </xf>
    <xf numFmtId="0" fontId="3" fillId="9" borderId="92" xfId="0" applyFont="1" applyFill="1" applyBorder="1" applyAlignment="1"/>
    <xf numFmtId="0" fontId="3" fillId="9" borderId="51" xfId="0" applyFont="1" applyFill="1" applyBorder="1" applyAlignment="1"/>
    <xf numFmtId="0" fontId="3" fillId="9" borderId="65" xfId="0" applyFont="1" applyFill="1" applyBorder="1" applyAlignment="1">
      <alignment vertical="top"/>
    </xf>
    <xf numFmtId="0" fontId="8" fillId="9" borderId="47" xfId="1" applyFont="1" applyFill="1" applyBorder="1" applyAlignment="1" applyProtection="1">
      <alignment horizontal="left" vertical="top"/>
    </xf>
    <xf numFmtId="0" fontId="131" fillId="9" borderId="53" xfId="0" applyFont="1" applyFill="1" applyBorder="1" applyAlignment="1">
      <alignment horizontal="center" vertical="center"/>
    </xf>
    <xf numFmtId="179" fontId="131" fillId="9" borderId="38" xfId="0" applyNumberFormat="1" applyFont="1" applyFill="1" applyBorder="1" applyAlignment="1">
      <alignment horizontal="center" vertical="center"/>
    </xf>
    <xf numFmtId="0" fontId="131" fillId="9" borderId="39" xfId="0" applyFont="1" applyFill="1" applyBorder="1" applyAlignment="1">
      <alignment horizontal="center" vertical="center"/>
    </xf>
    <xf numFmtId="176" fontId="36" fillId="7" borderId="46" xfId="0" applyNumberFormat="1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7" fillId="8" borderId="36" xfId="1" applyFont="1" applyFill="1" applyBorder="1" applyAlignment="1" applyProtection="1">
      <alignment horizontal="center" vertical="center"/>
    </xf>
    <xf numFmtId="0" fontId="29" fillId="7" borderId="47" xfId="1" applyFont="1" applyFill="1" applyBorder="1" applyAlignment="1" applyProtection="1">
      <alignment horizontal="center" vertical="center"/>
    </xf>
    <xf numFmtId="0" fontId="16" fillId="9" borderId="6" xfId="0" applyFont="1" applyFill="1" applyBorder="1" applyAlignment="1">
      <alignment horizontal="right"/>
    </xf>
    <xf numFmtId="0" fontId="173" fillId="0" borderId="0" xfId="0" applyFont="1" applyBorder="1" applyAlignment="1"/>
    <xf numFmtId="1" fontId="3" fillId="9" borderId="0" xfId="0" applyNumberFormat="1" applyFont="1" applyFill="1" applyBorder="1" applyAlignment="1" applyProtection="1">
      <alignment horizontal="center" vertical="center"/>
      <protection hidden="1"/>
    </xf>
    <xf numFmtId="172" fontId="3" fillId="9" borderId="0" xfId="0" applyNumberFormat="1" applyFont="1" applyFill="1" applyBorder="1" applyAlignment="1" applyProtection="1">
      <alignment horizontal="center" vertical="center"/>
      <protection hidden="1"/>
    </xf>
    <xf numFmtId="172" fontId="8" fillId="9" borderId="0" xfId="0" applyNumberFormat="1" applyFont="1" applyFill="1" applyBorder="1" applyAlignment="1" applyProtection="1">
      <alignment horizontal="center" vertical="center"/>
      <protection hidden="1"/>
    </xf>
    <xf numFmtId="169" fontId="3" fillId="9" borderId="0" xfId="0" applyNumberFormat="1" applyFont="1" applyFill="1" applyBorder="1" applyAlignment="1" applyProtection="1">
      <alignment horizontal="center" vertical="center"/>
      <protection hidden="1"/>
    </xf>
    <xf numFmtId="0" fontId="142" fillId="9" borderId="11" xfId="0" applyFont="1" applyFill="1" applyBorder="1" applyAlignment="1">
      <alignment vertical="center"/>
    </xf>
    <xf numFmtId="0" fontId="142" fillId="9" borderId="0" xfId="0" applyFont="1" applyFill="1" applyBorder="1" applyAlignment="1">
      <alignment horizontal="right"/>
    </xf>
    <xf numFmtId="165" fontId="3" fillId="6" borderId="1" xfId="0" applyNumberFormat="1" applyFont="1" applyFill="1" applyBorder="1" applyProtection="1">
      <protection hidden="1"/>
    </xf>
    <xf numFmtId="165" fontId="54" fillId="6" borderId="1" xfId="0" applyNumberFormat="1" applyFont="1" applyFill="1" applyBorder="1" applyProtection="1">
      <protection hidden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colors>
    <mruColors>
      <color rgb="FFF9F8BE"/>
      <color rgb="FFCC3300"/>
      <color rgb="FF800000"/>
      <color rgb="FFDDC723"/>
      <color rgb="FFFFCC99"/>
      <color rgb="FF990033"/>
      <color rgb="FFA8C129"/>
      <color rgb="FFD4B016"/>
      <color rgb="FFD6BD2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56416314944"/>
          <c:y val="7.185414559229196E-2"/>
          <c:w val="0.85584358368505598"/>
          <c:h val="0.8386695201911688"/>
        </c:manualLayout>
      </c:layout>
      <c:lineChart>
        <c:grouping val="standard"/>
        <c:varyColors val="0"/>
        <c:ser>
          <c:idx val="1"/>
          <c:order val="0"/>
          <c:marker>
            <c:spPr>
              <a:solidFill>
                <a:schemeClr val="accent6">
                  <a:lumMod val="50000"/>
                </a:schemeClr>
              </a:solidFill>
            </c:spPr>
          </c:marker>
          <c:val>
            <c:numRef>
              <c:f>Galilei!$F$12:$F$20</c:f>
              <c:numCache>
                <c:formatCode>0.00</c:formatCode>
                <c:ptCount val="9"/>
                <c:pt idx="0">
                  <c:v>0</c:v>
                </c:pt>
                <c:pt idx="1">
                  <c:v>0.81499999999999995</c:v>
                </c:pt>
                <c:pt idx="2">
                  <c:v>3.26</c:v>
                </c:pt>
                <c:pt idx="3">
                  <c:v>7.3349999999999991</c:v>
                </c:pt>
                <c:pt idx="4">
                  <c:v>13.04</c:v>
                </c:pt>
                <c:pt idx="5">
                  <c:v>20.375</c:v>
                </c:pt>
                <c:pt idx="6">
                  <c:v>29.339999999999996</c:v>
                </c:pt>
                <c:pt idx="7">
                  <c:v>39.934999999999995</c:v>
                </c:pt>
                <c:pt idx="8">
                  <c:v>52.16</c:v>
                </c:pt>
              </c:numCache>
            </c:numRef>
          </c:val>
          <c:smooth val="0"/>
        </c:ser>
        <c:ser>
          <c:idx val="2"/>
          <c:order val="1"/>
          <c:marker>
            <c:spPr>
              <a:solidFill>
                <a:srgbClr val="00B050"/>
              </a:solidFill>
            </c:spPr>
          </c:marker>
          <c:val>
            <c:numRef>
              <c:f>Galilei!$G$12:$G$20</c:f>
              <c:numCache>
                <c:formatCode>0.00</c:formatCode>
                <c:ptCount val="9"/>
                <c:pt idx="0">
                  <c:v>0</c:v>
                </c:pt>
                <c:pt idx="1">
                  <c:v>0.81499999999999995</c:v>
                </c:pt>
                <c:pt idx="2">
                  <c:v>2.4449999999999998</c:v>
                </c:pt>
                <c:pt idx="3">
                  <c:v>4.0749999999999993</c:v>
                </c:pt>
                <c:pt idx="4">
                  <c:v>5.7050000000000001</c:v>
                </c:pt>
                <c:pt idx="5">
                  <c:v>7.3350000000000009</c:v>
                </c:pt>
                <c:pt idx="6">
                  <c:v>8.9649999999999963</c:v>
                </c:pt>
                <c:pt idx="7">
                  <c:v>10.594999999999999</c:v>
                </c:pt>
                <c:pt idx="8">
                  <c:v>12.225000000000001</c:v>
                </c:pt>
              </c:numCache>
            </c:numRef>
          </c:val>
          <c:smooth val="0"/>
        </c:ser>
        <c:ser>
          <c:idx val="3"/>
          <c:order val="2"/>
          <c:marker>
            <c:spPr>
              <a:solidFill>
                <a:srgbClr val="0070C0"/>
              </a:solidFill>
            </c:spPr>
          </c:marker>
          <c:val>
            <c:numRef>
              <c:f>Galilei!$H$12:$H$20</c:f>
              <c:numCache>
                <c:formatCode>0.00</c:formatCode>
                <c:ptCount val="9"/>
                <c:pt idx="0">
                  <c:v>0</c:v>
                </c:pt>
                <c:pt idx="1">
                  <c:v>0.81499999999999995</c:v>
                </c:pt>
                <c:pt idx="2">
                  <c:v>1.63</c:v>
                </c:pt>
                <c:pt idx="3">
                  <c:v>1.6299999999999994</c:v>
                </c:pt>
                <c:pt idx="4">
                  <c:v>1.6300000000000008</c:v>
                </c:pt>
                <c:pt idx="5">
                  <c:v>1.6300000000000008</c:v>
                </c:pt>
                <c:pt idx="6">
                  <c:v>1.6299999999999955</c:v>
                </c:pt>
                <c:pt idx="7">
                  <c:v>1.6300000000000026</c:v>
                </c:pt>
                <c:pt idx="8">
                  <c:v>1.6300000000000026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738688"/>
        <c:axId val="244757248"/>
      </c:lineChart>
      <c:catAx>
        <c:axId val="24473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44757248"/>
        <c:crosses val="autoZero"/>
        <c:auto val="1"/>
        <c:lblAlgn val="ctr"/>
        <c:lblOffset val="100"/>
        <c:noMultiLvlLbl val="0"/>
      </c:catAx>
      <c:valAx>
        <c:axId val="2447572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447386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85000"/>
      </a:schemeClr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.jpeg"/><Relationship Id="rId117" Type="http://schemas.openxmlformats.org/officeDocument/2006/relationships/image" Target="../media/image114.png"/><Relationship Id="rId21" Type="http://schemas.openxmlformats.org/officeDocument/2006/relationships/image" Target="../media/image18.jpeg"/><Relationship Id="rId42" Type="http://schemas.openxmlformats.org/officeDocument/2006/relationships/image" Target="../media/image39.gif"/><Relationship Id="rId47" Type="http://schemas.openxmlformats.org/officeDocument/2006/relationships/image" Target="../media/image44.png"/><Relationship Id="rId63" Type="http://schemas.openxmlformats.org/officeDocument/2006/relationships/image" Target="../media/image60.png"/><Relationship Id="rId68" Type="http://schemas.openxmlformats.org/officeDocument/2006/relationships/image" Target="../media/image65.png"/><Relationship Id="rId84" Type="http://schemas.openxmlformats.org/officeDocument/2006/relationships/image" Target="../media/image81.png"/><Relationship Id="rId89" Type="http://schemas.openxmlformats.org/officeDocument/2006/relationships/image" Target="../media/image86.png"/><Relationship Id="rId112" Type="http://schemas.openxmlformats.org/officeDocument/2006/relationships/image" Target="../media/image109.png"/><Relationship Id="rId16" Type="http://schemas.openxmlformats.org/officeDocument/2006/relationships/image" Target="../media/image13.jpeg"/><Relationship Id="rId107" Type="http://schemas.openxmlformats.org/officeDocument/2006/relationships/image" Target="../media/image104.png"/><Relationship Id="rId11" Type="http://schemas.openxmlformats.org/officeDocument/2006/relationships/hyperlink" Target="http://images.google.de/imgres?imgurl=https://weblab.deusto.es/olarex/cd/kaernten/BBR_DE_new_21.01.2014/4.png&amp;imgrefurl=https://weblab.deusto.es/olarex/cd/kaernten/BBR_DE_new_21.01.2014/energieverteilung_im_spektrum_von_schwarzkrperstrahlung_bei_unterschiedlicher_temperatur.html&amp;h=433&amp;w=790&amp;tbnid=otrMeYSoOInTgM:&amp;docid=Caoica5r-5l_KM&amp;ei=bf7nVq7uMoaF6ATN5onIBA&amp;tbm=isch&amp;iact=rc&amp;uact=3&amp;dur=5375&amp;page=1&amp;start=0&amp;ndsp=24&amp;ved=0ahUKEwju2J2Q18LLAhWGApoKHU1zAkkQrQMIHjAA" TargetMode="External"/><Relationship Id="rId32" Type="http://schemas.openxmlformats.org/officeDocument/2006/relationships/image" Target="../media/image29.gif"/><Relationship Id="rId37" Type="http://schemas.openxmlformats.org/officeDocument/2006/relationships/image" Target="../media/image34.jpeg"/><Relationship Id="rId53" Type="http://schemas.openxmlformats.org/officeDocument/2006/relationships/image" Target="../media/image50.png"/><Relationship Id="rId58" Type="http://schemas.openxmlformats.org/officeDocument/2006/relationships/image" Target="../media/image55.png"/><Relationship Id="rId74" Type="http://schemas.openxmlformats.org/officeDocument/2006/relationships/image" Target="../media/image71.png"/><Relationship Id="rId79" Type="http://schemas.openxmlformats.org/officeDocument/2006/relationships/image" Target="../media/image76.png"/><Relationship Id="rId102" Type="http://schemas.openxmlformats.org/officeDocument/2006/relationships/image" Target="../media/image99.png"/><Relationship Id="rId123" Type="http://schemas.openxmlformats.org/officeDocument/2006/relationships/image" Target="../media/image120.png"/><Relationship Id="rId5" Type="http://schemas.openxmlformats.org/officeDocument/2006/relationships/image" Target="../media/image4.png"/><Relationship Id="rId61" Type="http://schemas.openxmlformats.org/officeDocument/2006/relationships/image" Target="../media/image58.png"/><Relationship Id="rId82" Type="http://schemas.openxmlformats.org/officeDocument/2006/relationships/image" Target="../media/image79.png"/><Relationship Id="rId90" Type="http://schemas.openxmlformats.org/officeDocument/2006/relationships/image" Target="../media/image87.jpeg"/><Relationship Id="rId95" Type="http://schemas.openxmlformats.org/officeDocument/2006/relationships/image" Target="../media/image92.png"/><Relationship Id="rId19" Type="http://schemas.openxmlformats.org/officeDocument/2006/relationships/image" Target="../media/image16.jpeg"/><Relationship Id="rId14" Type="http://schemas.openxmlformats.org/officeDocument/2006/relationships/image" Target="../media/image11.png"/><Relationship Id="rId22" Type="http://schemas.openxmlformats.org/officeDocument/2006/relationships/image" Target="../media/image19.jpeg"/><Relationship Id="rId27" Type="http://schemas.openxmlformats.org/officeDocument/2006/relationships/image" Target="../media/image24.jpeg"/><Relationship Id="rId30" Type="http://schemas.openxmlformats.org/officeDocument/2006/relationships/image" Target="../media/image27.gif"/><Relationship Id="rId35" Type="http://schemas.openxmlformats.org/officeDocument/2006/relationships/image" Target="../media/image32.png"/><Relationship Id="rId43" Type="http://schemas.openxmlformats.org/officeDocument/2006/relationships/image" Target="../media/image40.jpeg"/><Relationship Id="rId48" Type="http://schemas.openxmlformats.org/officeDocument/2006/relationships/image" Target="../media/image45.jpeg"/><Relationship Id="rId56" Type="http://schemas.openxmlformats.org/officeDocument/2006/relationships/image" Target="../media/image53.png"/><Relationship Id="rId64" Type="http://schemas.openxmlformats.org/officeDocument/2006/relationships/image" Target="../media/image61.png"/><Relationship Id="rId69" Type="http://schemas.openxmlformats.org/officeDocument/2006/relationships/image" Target="../media/image66.png"/><Relationship Id="rId77" Type="http://schemas.openxmlformats.org/officeDocument/2006/relationships/image" Target="../media/image74.png"/><Relationship Id="rId100" Type="http://schemas.openxmlformats.org/officeDocument/2006/relationships/image" Target="../media/image97.png"/><Relationship Id="rId105" Type="http://schemas.openxmlformats.org/officeDocument/2006/relationships/image" Target="../media/image102.png"/><Relationship Id="rId113" Type="http://schemas.openxmlformats.org/officeDocument/2006/relationships/image" Target="../media/image110.png"/><Relationship Id="rId118" Type="http://schemas.openxmlformats.org/officeDocument/2006/relationships/image" Target="../media/image115.png"/><Relationship Id="rId8" Type="http://schemas.openxmlformats.org/officeDocument/2006/relationships/image" Target="../media/image7.png"/><Relationship Id="rId51" Type="http://schemas.openxmlformats.org/officeDocument/2006/relationships/image" Target="../media/image48.png"/><Relationship Id="rId72" Type="http://schemas.openxmlformats.org/officeDocument/2006/relationships/image" Target="../media/image69.png"/><Relationship Id="rId80" Type="http://schemas.openxmlformats.org/officeDocument/2006/relationships/image" Target="../media/image77.png"/><Relationship Id="rId85" Type="http://schemas.openxmlformats.org/officeDocument/2006/relationships/image" Target="../media/image82.jpeg"/><Relationship Id="rId93" Type="http://schemas.openxmlformats.org/officeDocument/2006/relationships/image" Target="../media/image90.png"/><Relationship Id="rId98" Type="http://schemas.openxmlformats.org/officeDocument/2006/relationships/image" Target="../media/image95.jpeg"/><Relationship Id="rId121" Type="http://schemas.openxmlformats.org/officeDocument/2006/relationships/image" Target="../media/image118.png"/><Relationship Id="rId3" Type="http://schemas.openxmlformats.org/officeDocument/2006/relationships/hyperlink" Target="http://images.google.de/imgres?imgurl=https://i.ytimg.com/vi/S-6efo_t0t8/maxresdefault.jpg&amp;imgrefurl=https://www.youtube.com/watch?v=S-6efo_t0t8&amp;h=720&amp;w=1280&amp;tbnid=MYApGwZsHNgDLM:&amp;docid=m5ceXG4jEj_41M&amp;ei=z1bHVuPyO8Ti6ATTn4J4&amp;tbm=isch&amp;iact=rc&amp;uact=3&amp;dur=1607&amp;page=9&amp;start=196&amp;ndsp=31&amp;ved=0ahUKEwijlpzjsoTLAhVEMZoKHdOPAA84yAEQrQMIOjAS" TargetMode="External"/><Relationship Id="rId12" Type="http://schemas.openxmlformats.org/officeDocument/2006/relationships/image" Target="../media/image9.png"/><Relationship Id="rId17" Type="http://schemas.openxmlformats.org/officeDocument/2006/relationships/image" Target="../media/image14.gif"/><Relationship Id="rId25" Type="http://schemas.openxmlformats.org/officeDocument/2006/relationships/image" Target="../media/image22.gif"/><Relationship Id="rId33" Type="http://schemas.openxmlformats.org/officeDocument/2006/relationships/image" Target="../media/image30.png"/><Relationship Id="rId38" Type="http://schemas.openxmlformats.org/officeDocument/2006/relationships/image" Target="../media/image35.png"/><Relationship Id="rId46" Type="http://schemas.openxmlformats.org/officeDocument/2006/relationships/image" Target="../media/image43.png"/><Relationship Id="rId59" Type="http://schemas.openxmlformats.org/officeDocument/2006/relationships/image" Target="../media/image56.png"/><Relationship Id="rId67" Type="http://schemas.openxmlformats.org/officeDocument/2006/relationships/image" Target="../media/image64.png"/><Relationship Id="rId103" Type="http://schemas.openxmlformats.org/officeDocument/2006/relationships/image" Target="../media/image100.png"/><Relationship Id="rId108" Type="http://schemas.openxmlformats.org/officeDocument/2006/relationships/image" Target="../media/image105.png"/><Relationship Id="rId116" Type="http://schemas.openxmlformats.org/officeDocument/2006/relationships/image" Target="../media/image113.png"/><Relationship Id="rId124" Type="http://schemas.openxmlformats.org/officeDocument/2006/relationships/image" Target="../media/image121.png"/><Relationship Id="rId20" Type="http://schemas.openxmlformats.org/officeDocument/2006/relationships/image" Target="../media/image17.jpeg"/><Relationship Id="rId41" Type="http://schemas.openxmlformats.org/officeDocument/2006/relationships/image" Target="../media/image38.jpeg"/><Relationship Id="rId54" Type="http://schemas.openxmlformats.org/officeDocument/2006/relationships/image" Target="../media/image51.png"/><Relationship Id="rId62" Type="http://schemas.openxmlformats.org/officeDocument/2006/relationships/image" Target="../media/image59.png"/><Relationship Id="rId70" Type="http://schemas.openxmlformats.org/officeDocument/2006/relationships/image" Target="../media/image67.png"/><Relationship Id="rId75" Type="http://schemas.openxmlformats.org/officeDocument/2006/relationships/image" Target="../media/image72.png"/><Relationship Id="rId83" Type="http://schemas.openxmlformats.org/officeDocument/2006/relationships/image" Target="../media/image80.png"/><Relationship Id="rId88" Type="http://schemas.openxmlformats.org/officeDocument/2006/relationships/image" Target="../media/image85.png"/><Relationship Id="rId91" Type="http://schemas.openxmlformats.org/officeDocument/2006/relationships/image" Target="../media/image88.png"/><Relationship Id="rId96" Type="http://schemas.openxmlformats.org/officeDocument/2006/relationships/image" Target="../media/image93.png"/><Relationship Id="rId111" Type="http://schemas.openxmlformats.org/officeDocument/2006/relationships/image" Target="../media/image108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5" Type="http://schemas.openxmlformats.org/officeDocument/2006/relationships/image" Target="../media/image12.jpeg"/><Relationship Id="rId23" Type="http://schemas.openxmlformats.org/officeDocument/2006/relationships/image" Target="../media/image20.jpeg"/><Relationship Id="rId28" Type="http://schemas.openxmlformats.org/officeDocument/2006/relationships/image" Target="../media/image25.png"/><Relationship Id="rId36" Type="http://schemas.openxmlformats.org/officeDocument/2006/relationships/image" Target="../media/image33.gif"/><Relationship Id="rId49" Type="http://schemas.openxmlformats.org/officeDocument/2006/relationships/image" Target="../media/image46.png"/><Relationship Id="rId57" Type="http://schemas.openxmlformats.org/officeDocument/2006/relationships/image" Target="../media/image54.png"/><Relationship Id="rId106" Type="http://schemas.openxmlformats.org/officeDocument/2006/relationships/image" Target="../media/image103.png"/><Relationship Id="rId114" Type="http://schemas.openxmlformats.org/officeDocument/2006/relationships/image" Target="../media/image111.png"/><Relationship Id="rId119" Type="http://schemas.openxmlformats.org/officeDocument/2006/relationships/image" Target="../media/image116.png"/><Relationship Id="rId10" Type="http://schemas.openxmlformats.org/officeDocument/2006/relationships/hyperlink" Target="http://images.google.de/imgres?imgurl=https://upload.wikimedia.org/wikipedia/commons/9/98/Andromeda_Galaxy_(with_h-alpha).jpg&amp;imgrefurl=https://de.wikipedia.org/wiki/Andromedagalaxie&amp;h=1971&amp;w=3000&amp;tbnid=Fgy1Z_19DMtT3M:&amp;docid=tfiulddcFarYmM&amp;ei=WK3VVuvsFsXQygPjnJrAAg&amp;tbm=isch&amp;iact=rc&amp;uact=3&amp;dur=1707&amp;page=1&amp;start=0&amp;ndsp=24&amp;ved=0ahUKEwjr-Kai35_LAhVFqHIKHWOOBigQrQMIHjAA" TargetMode="External"/><Relationship Id="rId31" Type="http://schemas.openxmlformats.org/officeDocument/2006/relationships/image" Target="../media/image28.gif"/><Relationship Id="rId44" Type="http://schemas.openxmlformats.org/officeDocument/2006/relationships/image" Target="../media/image41.jpeg"/><Relationship Id="rId52" Type="http://schemas.openxmlformats.org/officeDocument/2006/relationships/image" Target="../media/image49.png"/><Relationship Id="rId60" Type="http://schemas.openxmlformats.org/officeDocument/2006/relationships/image" Target="../media/image57.png"/><Relationship Id="rId65" Type="http://schemas.openxmlformats.org/officeDocument/2006/relationships/image" Target="../media/image62.png"/><Relationship Id="rId73" Type="http://schemas.openxmlformats.org/officeDocument/2006/relationships/image" Target="../media/image70.png"/><Relationship Id="rId78" Type="http://schemas.openxmlformats.org/officeDocument/2006/relationships/image" Target="../media/image75.png"/><Relationship Id="rId81" Type="http://schemas.openxmlformats.org/officeDocument/2006/relationships/image" Target="../media/image78.png"/><Relationship Id="rId86" Type="http://schemas.openxmlformats.org/officeDocument/2006/relationships/image" Target="../media/image83.gif"/><Relationship Id="rId94" Type="http://schemas.openxmlformats.org/officeDocument/2006/relationships/image" Target="../media/image91.png"/><Relationship Id="rId99" Type="http://schemas.openxmlformats.org/officeDocument/2006/relationships/image" Target="../media/image96.png"/><Relationship Id="rId101" Type="http://schemas.openxmlformats.org/officeDocument/2006/relationships/image" Target="../media/image98.png"/><Relationship Id="rId122" Type="http://schemas.openxmlformats.org/officeDocument/2006/relationships/image" Target="../media/image11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3" Type="http://schemas.openxmlformats.org/officeDocument/2006/relationships/image" Target="../media/image10.jpeg"/><Relationship Id="rId18" Type="http://schemas.openxmlformats.org/officeDocument/2006/relationships/image" Target="../media/image15.jpeg"/><Relationship Id="rId39" Type="http://schemas.openxmlformats.org/officeDocument/2006/relationships/image" Target="../media/image36.gif"/><Relationship Id="rId109" Type="http://schemas.openxmlformats.org/officeDocument/2006/relationships/image" Target="../media/image106.png"/><Relationship Id="rId34" Type="http://schemas.openxmlformats.org/officeDocument/2006/relationships/image" Target="../media/image31.jpeg"/><Relationship Id="rId50" Type="http://schemas.openxmlformats.org/officeDocument/2006/relationships/image" Target="../media/image47.png"/><Relationship Id="rId55" Type="http://schemas.openxmlformats.org/officeDocument/2006/relationships/image" Target="../media/image52.png"/><Relationship Id="rId76" Type="http://schemas.openxmlformats.org/officeDocument/2006/relationships/image" Target="../media/image73.png"/><Relationship Id="rId97" Type="http://schemas.openxmlformats.org/officeDocument/2006/relationships/image" Target="../media/image94.png"/><Relationship Id="rId104" Type="http://schemas.openxmlformats.org/officeDocument/2006/relationships/image" Target="../media/image101.png"/><Relationship Id="rId120" Type="http://schemas.openxmlformats.org/officeDocument/2006/relationships/image" Target="../media/image117.png"/><Relationship Id="rId7" Type="http://schemas.openxmlformats.org/officeDocument/2006/relationships/image" Target="../media/image6.png"/><Relationship Id="rId71" Type="http://schemas.openxmlformats.org/officeDocument/2006/relationships/image" Target="../media/image68.png"/><Relationship Id="rId92" Type="http://schemas.openxmlformats.org/officeDocument/2006/relationships/image" Target="../media/image89.png"/><Relationship Id="rId2" Type="http://schemas.openxmlformats.org/officeDocument/2006/relationships/image" Target="../media/image2.png"/><Relationship Id="rId29" Type="http://schemas.openxmlformats.org/officeDocument/2006/relationships/image" Target="../media/image26.jpeg"/><Relationship Id="rId24" Type="http://schemas.openxmlformats.org/officeDocument/2006/relationships/image" Target="../media/image21.jpeg"/><Relationship Id="rId40" Type="http://schemas.openxmlformats.org/officeDocument/2006/relationships/image" Target="../media/image37.png"/><Relationship Id="rId45" Type="http://schemas.openxmlformats.org/officeDocument/2006/relationships/image" Target="../media/image42.jpeg"/><Relationship Id="rId66" Type="http://schemas.openxmlformats.org/officeDocument/2006/relationships/image" Target="../media/image63.png"/><Relationship Id="rId87" Type="http://schemas.openxmlformats.org/officeDocument/2006/relationships/image" Target="../media/image84.jpeg"/><Relationship Id="rId110" Type="http://schemas.openxmlformats.org/officeDocument/2006/relationships/image" Target="../media/image107.png"/><Relationship Id="rId115" Type="http://schemas.openxmlformats.org/officeDocument/2006/relationships/image" Target="../media/image112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6.jpeg"/><Relationship Id="rId18" Type="http://schemas.openxmlformats.org/officeDocument/2006/relationships/image" Target="../media/image321.png"/><Relationship Id="rId26" Type="http://schemas.openxmlformats.org/officeDocument/2006/relationships/image" Target="../media/image329.gif"/><Relationship Id="rId39" Type="http://schemas.openxmlformats.org/officeDocument/2006/relationships/image" Target="../media/image342.png"/><Relationship Id="rId21" Type="http://schemas.openxmlformats.org/officeDocument/2006/relationships/image" Target="../media/image324.png"/><Relationship Id="rId34" Type="http://schemas.openxmlformats.org/officeDocument/2006/relationships/image" Target="../media/image337.png"/><Relationship Id="rId42" Type="http://schemas.openxmlformats.org/officeDocument/2006/relationships/image" Target="../media/image344.png"/><Relationship Id="rId47" Type="http://schemas.openxmlformats.org/officeDocument/2006/relationships/image" Target="../media/image349.png"/><Relationship Id="rId50" Type="http://schemas.openxmlformats.org/officeDocument/2006/relationships/image" Target="../media/image352.png"/><Relationship Id="rId55" Type="http://schemas.openxmlformats.org/officeDocument/2006/relationships/image" Target="../media/image357.png"/><Relationship Id="rId63" Type="http://schemas.openxmlformats.org/officeDocument/2006/relationships/image" Target="../media/image365.png"/><Relationship Id="rId68" Type="http://schemas.openxmlformats.org/officeDocument/2006/relationships/image" Target="../media/image370.png"/><Relationship Id="rId7" Type="http://schemas.openxmlformats.org/officeDocument/2006/relationships/image" Target="../media/image310.jpeg"/><Relationship Id="rId71" Type="http://schemas.openxmlformats.org/officeDocument/2006/relationships/image" Target="../media/image373.png"/><Relationship Id="rId2" Type="http://schemas.openxmlformats.org/officeDocument/2006/relationships/image" Target="../media/image305.png"/><Relationship Id="rId16" Type="http://schemas.openxmlformats.org/officeDocument/2006/relationships/image" Target="../media/image319.png"/><Relationship Id="rId29" Type="http://schemas.openxmlformats.org/officeDocument/2006/relationships/image" Target="../media/image332.gif"/><Relationship Id="rId11" Type="http://schemas.openxmlformats.org/officeDocument/2006/relationships/image" Target="../media/image314.jpeg"/><Relationship Id="rId24" Type="http://schemas.openxmlformats.org/officeDocument/2006/relationships/image" Target="../media/image327.png"/><Relationship Id="rId32" Type="http://schemas.openxmlformats.org/officeDocument/2006/relationships/image" Target="../media/image335.png"/><Relationship Id="rId37" Type="http://schemas.openxmlformats.org/officeDocument/2006/relationships/image" Target="../media/image340.png"/><Relationship Id="rId40" Type="http://schemas.openxmlformats.org/officeDocument/2006/relationships/image" Target="../media/image129.png"/><Relationship Id="rId45" Type="http://schemas.openxmlformats.org/officeDocument/2006/relationships/image" Target="../media/image347.png"/><Relationship Id="rId53" Type="http://schemas.openxmlformats.org/officeDocument/2006/relationships/image" Target="../media/image355.png"/><Relationship Id="rId58" Type="http://schemas.openxmlformats.org/officeDocument/2006/relationships/image" Target="../media/image360.png"/><Relationship Id="rId66" Type="http://schemas.openxmlformats.org/officeDocument/2006/relationships/image" Target="../media/image368.png"/><Relationship Id="rId74" Type="http://schemas.openxmlformats.org/officeDocument/2006/relationships/image" Target="../media/image376.jpeg"/><Relationship Id="rId5" Type="http://schemas.openxmlformats.org/officeDocument/2006/relationships/image" Target="../media/image308.png"/><Relationship Id="rId15" Type="http://schemas.openxmlformats.org/officeDocument/2006/relationships/image" Target="../media/image318.jpeg"/><Relationship Id="rId23" Type="http://schemas.openxmlformats.org/officeDocument/2006/relationships/image" Target="../media/image326.png"/><Relationship Id="rId28" Type="http://schemas.openxmlformats.org/officeDocument/2006/relationships/image" Target="../media/image331.png"/><Relationship Id="rId36" Type="http://schemas.openxmlformats.org/officeDocument/2006/relationships/image" Target="../media/image339.png"/><Relationship Id="rId49" Type="http://schemas.openxmlformats.org/officeDocument/2006/relationships/image" Target="../media/image351.png"/><Relationship Id="rId57" Type="http://schemas.openxmlformats.org/officeDocument/2006/relationships/image" Target="../media/image359.png"/><Relationship Id="rId61" Type="http://schemas.openxmlformats.org/officeDocument/2006/relationships/image" Target="../media/image363.png"/><Relationship Id="rId10" Type="http://schemas.openxmlformats.org/officeDocument/2006/relationships/image" Target="../media/image313.gif"/><Relationship Id="rId19" Type="http://schemas.openxmlformats.org/officeDocument/2006/relationships/image" Target="../media/image322.png"/><Relationship Id="rId31" Type="http://schemas.openxmlformats.org/officeDocument/2006/relationships/image" Target="../media/image334.png"/><Relationship Id="rId44" Type="http://schemas.openxmlformats.org/officeDocument/2006/relationships/image" Target="../media/image346.png"/><Relationship Id="rId52" Type="http://schemas.openxmlformats.org/officeDocument/2006/relationships/image" Target="../media/image354.png"/><Relationship Id="rId60" Type="http://schemas.openxmlformats.org/officeDocument/2006/relationships/image" Target="../media/image362.png"/><Relationship Id="rId65" Type="http://schemas.openxmlformats.org/officeDocument/2006/relationships/image" Target="../media/image367.png"/><Relationship Id="rId73" Type="http://schemas.openxmlformats.org/officeDocument/2006/relationships/image" Target="../media/image375.png"/><Relationship Id="rId4" Type="http://schemas.openxmlformats.org/officeDocument/2006/relationships/image" Target="../media/image307.png"/><Relationship Id="rId9" Type="http://schemas.openxmlformats.org/officeDocument/2006/relationships/image" Target="../media/image312.png"/><Relationship Id="rId14" Type="http://schemas.openxmlformats.org/officeDocument/2006/relationships/image" Target="../media/image317.png"/><Relationship Id="rId22" Type="http://schemas.openxmlformats.org/officeDocument/2006/relationships/image" Target="../media/image325.png"/><Relationship Id="rId27" Type="http://schemas.openxmlformats.org/officeDocument/2006/relationships/image" Target="../media/image330.png"/><Relationship Id="rId30" Type="http://schemas.openxmlformats.org/officeDocument/2006/relationships/image" Target="../media/image333.png"/><Relationship Id="rId35" Type="http://schemas.openxmlformats.org/officeDocument/2006/relationships/image" Target="../media/image338.png"/><Relationship Id="rId43" Type="http://schemas.openxmlformats.org/officeDocument/2006/relationships/image" Target="../media/image345.png"/><Relationship Id="rId48" Type="http://schemas.openxmlformats.org/officeDocument/2006/relationships/image" Target="../media/image350.png"/><Relationship Id="rId56" Type="http://schemas.openxmlformats.org/officeDocument/2006/relationships/image" Target="../media/image358.jpeg"/><Relationship Id="rId64" Type="http://schemas.openxmlformats.org/officeDocument/2006/relationships/image" Target="../media/image366.png"/><Relationship Id="rId69" Type="http://schemas.openxmlformats.org/officeDocument/2006/relationships/image" Target="../media/image371.png"/><Relationship Id="rId8" Type="http://schemas.openxmlformats.org/officeDocument/2006/relationships/image" Target="../media/image311.png"/><Relationship Id="rId51" Type="http://schemas.openxmlformats.org/officeDocument/2006/relationships/image" Target="../media/image353.png"/><Relationship Id="rId72" Type="http://schemas.openxmlformats.org/officeDocument/2006/relationships/image" Target="../media/image374.png"/><Relationship Id="rId3" Type="http://schemas.openxmlformats.org/officeDocument/2006/relationships/image" Target="../media/image306.gif"/><Relationship Id="rId12" Type="http://schemas.openxmlformats.org/officeDocument/2006/relationships/image" Target="../media/image315.jpeg"/><Relationship Id="rId17" Type="http://schemas.openxmlformats.org/officeDocument/2006/relationships/image" Target="../media/image320.jpeg"/><Relationship Id="rId25" Type="http://schemas.openxmlformats.org/officeDocument/2006/relationships/image" Target="../media/image328.gif"/><Relationship Id="rId33" Type="http://schemas.openxmlformats.org/officeDocument/2006/relationships/image" Target="../media/image336.png"/><Relationship Id="rId38" Type="http://schemas.openxmlformats.org/officeDocument/2006/relationships/image" Target="../media/image341.png"/><Relationship Id="rId46" Type="http://schemas.openxmlformats.org/officeDocument/2006/relationships/image" Target="../media/image348.png"/><Relationship Id="rId59" Type="http://schemas.openxmlformats.org/officeDocument/2006/relationships/image" Target="../media/image361.png"/><Relationship Id="rId67" Type="http://schemas.openxmlformats.org/officeDocument/2006/relationships/image" Target="../media/image369.png"/><Relationship Id="rId20" Type="http://schemas.openxmlformats.org/officeDocument/2006/relationships/image" Target="../media/image323.png"/><Relationship Id="rId41" Type="http://schemas.openxmlformats.org/officeDocument/2006/relationships/image" Target="../media/image343.png"/><Relationship Id="rId54" Type="http://schemas.openxmlformats.org/officeDocument/2006/relationships/image" Target="../media/image356.png"/><Relationship Id="rId62" Type="http://schemas.openxmlformats.org/officeDocument/2006/relationships/image" Target="../media/image364.png"/><Relationship Id="rId70" Type="http://schemas.openxmlformats.org/officeDocument/2006/relationships/image" Target="../media/image372.png"/><Relationship Id="rId75" Type="http://schemas.openxmlformats.org/officeDocument/2006/relationships/image" Target="../media/image377.png"/><Relationship Id="rId1" Type="http://schemas.openxmlformats.org/officeDocument/2006/relationships/image" Target="../media/image304.jpeg"/><Relationship Id="rId6" Type="http://schemas.openxmlformats.org/officeDocument/2006/relationships/image" Target="../media/image309.gi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4.png"/><Relationship Id="rId13" Type="http://schemas.openxmlformats.org/officeDocument/2006/relationships/image" Target="../media/image389.png"/><Relationship Id="rId3" Type="http://schemas.openxmlformats.org/officeDocument/2006/relationships/image" Target="../media/image379.png"/><Relationship Id="rId7" Type="http://schemas.openxmlformats.org/officeDocument/2006/relationships/image" Target="../media/image383.png"/><Relationship Id="rId12" Type="http://schemas.openxmlformats.org/officeDocument/2006/relationships/image" Target="../media/image388.png"/><Relationship Id="rId17" Type="http://schemas.openxmlformats.org/officeDocument/2006/relationships/image" Target="../media/image393.png"/><Relationship Id="rId2" Type="http://schemas.openxmlformats.org/officeDocument/2006/relationships/chart" Target="../charts/chart1.xml"/><Relationship Id="rId16" Type="http://schemas.openxmlformats.org/officeDocument/2006/relationships/image" Target="../media/image392.png"/><Relationship Id="rId1" Type="http://schemas.openxmlformats.org/officeDocument/2006/relationships/image" Target="../media/image378.gif"/><Relationship Id="rId6" Type="http://schemas.openxmlformats.org/officeDocument/2006/relationships/image" Target="../media/image382.png"/><Relationship Id="rId11" Type="http://schemas.openxmlformats.org/officeDocument/2006/relationships/image" Target="../media/image387.png"/><Relationship Id="rId5" Type="http://schemas.openxmlformats.org/officeDocument/2006/relationships/image" Target="../media/image381.png"/><Relationship Id="rId15" Type="http://schemas.openxmlformats.org/officeDocument/2006/relationships/image" Target="../media/image391.png"/><Relationship Id="rId10" Type="http://schemas.openxmlformats.org/officeDocument/2006/relationships/image" Target="../media/image386.png"/><Relationship Id="rId4" Type="http://schemas.openxmlformats.org/officeDocument/2006/relationships/image" Target="../media/image380.png"/><Relationship Id="rId9" Type="http://schemas.openxmlformats.org/officeDocument/2006/relationships/image" Target="../media/image385.png"/><Relationship Id="rId14" Type="http://schemas.openxmlformats.org/officeDocument/2006/relationships/image" Target="../media/image39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0.png"/><Relationship Id="rId13" Type="http://schemas.openxmlformats.org/officeDocument/2006/relationships/image" Target="../media/image405.png"/><Relationship Id="rId18" Type="http://schemas.openxmlformats.org/officeDocument/2006/relationships/image" Target="../media/image410.png"/><Relationship Id="rId26" Type="http://schemas.openxmlformats.org/officeDocument/2006/relationships/image" Target="../media/image418.png"/><Relationship Id="rId3" Type="http://schemas.openxmlformats.org/officeDocument/2006/relationships/image" Target="../media/image395.png"/><Relationship Id="rId21" Type="http://schemas.openxmlformats.org/officeDocument/2006/relationships/image" Target="../media/image413.png"/><Relationship Id="rId34" Type="http://schemas.openxmlformats.org/officeDocument/2006/relationships/image" Target="../media/image426.png"/><Relationship Id="rId7" Type="http://schemas.openxmlformats.org/officeDocument/2006/relationships/image" Target="../media/image399.png"/><Relationship Id="rId12" Type="http://schemas.openxmlformats.org/officeDocument/2006/relationships/image" Target="../media/image404.png"/><Relationship Id="rId17" Type="http://schemas.openxmlformats.org/officeDocument/2006/relationships/image" Target="../media/image409.png"/><Relationship Id="rId25" Type="http://schemas.openxmlformats.org/officeDocument/2006/relationships/image" Target="../media/image417.png"/><Relationship Id="rId33" Type="http://schemas.openxmlformats.org/officeDocument/2006/relationships/image" Target="../media/image425.png"/><Relationship Id="rId38" Type="http://schemas.openxmlformats.org/officeDocument/2006/relationships/image" Target="../media/image430.png"/><Relationship Id="rId2" Type="http://schemas.openxmlformats.org/officeDocument/2006/relationships/image" Target="../media/image25.png"/><Relationship Id="rId16" Type="http://schemas.openxmlformats.org/officeDocument/2006/relationships/image" Target="../media/image408.png"/><Relationship Id="rId20" Type="http://schemas.openxmlformats.org/officeDocument/2006/relationships/image" Target="../media/image412.png"/><Relationship Id="rId29" Type="http://schemas.openxmlformats.org/officeDocument/2006/relationships/image" Target="../media/image421.png"/><Relationship Id="rId1" Type="http://schemas.openxmlformats.org/officeDocument/2006/relationships/image" Target="../media/image394.jpeg"/><Relationship Id="rId6" Type="http://schemas.openxmlformats.org/officeDocument/2006/relationships/image" Target="../media/image398.png"/><Relationship Id="rId11" Type="http://schemas.openxmlformats.org/officeDocument/2006/relationships/image" Target="../media/image403.jpeg"/><Relationship Id="rId24" Type="http://schemas.openxmlformats.org/officeDocument/2006/relationships/image" Target="../media/image416.png"/><Relationship Id="rId32" Type="http://schemas.openxmlformats.org/officeDocument/2006/relationships/image" Target="../media/image424.png"/><Relationship Id="rId37" Type="http://schemas.openxmlformats.org/officeDocument/2006/relationships/image" Target="../media/image429.png"/><Relationship Id="rId5" Type="http://schemas.openxmlformats.org/officeDocument/2006/relationships/image" Target="../media/image397.png"/><Relationship Id="rId15" Type="http://schemas.openxmlformats.org/officeDocument/2006/relationships/image" Target="../media/image407.png"/><Relationship Id="rId23" Type="http://schemas.openxmlformats.org/officeDocument/2006/relationships/image" Target="../media/image415.png"/><Relationship Id="rId28" Type="http://schemas.openxmlformats.org/officeDocument/2006/relationships/image" Target="../media/image420.png"/><Relationship Id="rId36" Type="http://schemas.openxmlformats.org/officeDocument/2006/relationships/image" Target="../media/image428.png"/><Relationship Id="rId10" Type="http://schemas.openxmlformats.org/officeDocument/2006/relationships/image" Target="../media/image402.png"/><Relationship Id="rId19" Type="http://schemas.openxmlformats.org/officeDocument/2006/relationships/image" Target="../media/image411.png"/><Relationship Id="rId31" Type="http://schemas.openxmlformats.org/officeDocument/2006/relationships/image" Target="../media/image423.png"/><Relationship Id="rId4" Type="http://schemas.openxmlformats.org/officeDocument/2006/relationships/image" Target="../media/image396.gif"/><Relationship Id="rId9" Type="http://schemas.openxmlformats.org/officeDocument/2006/relationships/image" Target="../media/image401.png"/><Relationship Id="rId14" Type="http://schemas.openxmlformats.org/officeDocument/2006/relationships/image" Target="../media/image406.png"/><Relationship Id="rId22" Type="http://schemas.openxmlformats.org/officeDocument/2006/relationships/image" Target="../media/image414.png"/><Relationship Id="rId27" Type="http://schemas.openxmlformats.org/officeDocument/2006/relationships/image" Target="../media/image419.png"/><Relationship Id="rId30" Type="http://schemas.openxmlformats.org/officeDocument/2006/relationships/image" Target="../media/image422.png"/><Relationship Id="rId35" Type="http://schemas.openxmlformats.org/officeDocument/2006/relationships/image" Target="../media/image4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png"/><Relationship Id="rId13" Type="http://schemas.openxmlformats.org/officeDocument/2006/relationships/image" Target="../media/image134.png"/><Relationship Id="rId3" Type="http://schemas.openxmlformats.org/officeDocument/2006/relationships/image" Target="../media/image124.jpeg"/><Relationship Id="rId7" Type="http://schemas.openxmlformats.org/officeDocument/2006/relationships/image" Target="../media/image128.png"/><Relationship Id="rId12" Type="http://schemas.openxmlformats.org/officeDocument/2006/relationships/image" Target="../media/image133.png"/><Relationship Id="rId2" Type="http://schemas.openxmlformats.org/officeDocument/2006/relationships/image" Target="../media/image123.png"/><Relationship Id="rId1" Type="http://schemas.openxmlformats.org/officeDocument/2006/relationships/image" Target="../media/image122.png"/><Relationship Id="rId6" Type="http://schemas.openxmlformats.org/officeDocument/2006/relationships/image" Target="../media/image127.png"/><Relationship Id="rId11" Type="http://schemas.openxmlformats.org/officeDocument/2006/relationships/image" Target="../media/image132.png"/><Relationship Id="rId5" Type="http://schemas.openxmlformats.org/officeDocument/2006/relationships/image" Target="../media/image126.jpeg"/><Relationship Id="rId10" Type="http://schemas.openxmlformats.org/officeDocument/2006/relationships/image" Target="../media/image131.png"/><Relationship Id="rId4" Type="http://schemas.openxmlformats.org/officeDocument/2006/relationships/image" Target="../media/image125.png"/><Relationship Id="rId9" Type="http://schemas.openxmlformats.org/officeDocument/2006/relationships/image" Target="../media/image13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2.png"/><Relationship Id="rId13" Type="http://schemas.openxmlformats.org/officeDocument/2006/relationships/image" Target="../media/image147.png"/><Relationship Id="rId18" Type="http://schemas.openxmlformats.org/officeDocument/2006/relationships/image" Target="../media/image150.png"/><Relationship Id="rId3" Type="http://schemas.openxmlformats.org/officeDocument/2006/relationships/image" Target="../media/image137.gif"/><Relationship Id="rId21" Type="http://schemas.openxmlformats.org/officeDocument/2006/relationships/image" Target="../media/image101.png"/><Relationship Id="rId7" Type="http://schemas.openxmlformats.org/officeDocument/2006/relationships/image" Target="../media/image141.png"/><Relationship Id="rId12" Type="http://schemas.openxmlformats.org/officeDocument/2006/relationships/image" Target="../media/image146.png"/><Relationship Id="rId17" Type="http://schemas.openxmlformats.org/officeDocument/2006/relationships/image" Target="../media/image117.png"/><Relationship Id="rId2" Type="http://schemas.openxmlformats.org/officeDocument/2006/relationships/image" Target="../media/image136.jpeg"/><Relationship Id="rId16" Type="http://schemas.openxmlformats.org/officeDocument/2006/relationships/image" Target="../media/image149.png"/><Relationship Id="rId20" Type="http://schemas.openxmlformats.org/officeDocument/2006/relationships/image" Target="../media/image152.png"/><Relationship Id="rId1" Type="http://schemas.openxmlformats.org/officeDocument/2006/relationships/image" Target="../media/image135.jpeg"/><Relationship Id="rId6" Type="http://schemas.openxmlformats.org/officeDocument/2006/relationships/image" Target="../media/image140.png"/><Relationship Id="rId11" Type="http://schemas.openxmlformats.org/officeDocument/2006/relationships/image" Target="../media/image145.png"/><Relationship Id="rId5" Type="http://schemas.openxmlformats.org/officeDocument/2006/relationships/image" Target="../media/image139.png"/><Relationship Id="rId15" Type="http://schemas.openxmlformats.org/officeDocument/2006/relationships/image" Target="../media/image148.png"/><Relationship Id="rId23" Type="http://schemas.openxmlformats.org/officeDocument/2006/relationships/image" Target="../media/image154.png"/><Relationship Id="rId10" Type="http://schemas.openxmlformats.org/officeDocument/2006/relationships/image" Target="../media/image144.png"/><Relationship Id="rId19" Type="http://schemas.openxmlformats.org/officeDocument/2006/relationships/image" Target="../media/image151.png"/><Relationship Id="rId4" Type="http://schemas.openxmlformats.org/officeDocument/2006/relationships/image" Target="../media/image138.gif"/><Relationship Id="rId9" Type="http://schemas.openxmlformats.org/officeDocument/2006/relationships/image" Target="../media/image143.png"/><Relationship Id="rId14" Type="http://schemas.openxmlformats.org/officeDocument/2006/relationships/image" Target="../media/image116.png"/><Relationship Id="rId22" Type="http://schemas.openxmlformats.org/officeDocument/2006/relationships/image" Target="../media/image15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2.png"/><Relationship Id="rId3" Type="http://schemas.openxmlformats.org/officeDocument/2006/relationships/image" Target="../media/image157.png"/><Relationship Id="rId7" Type="http://schemas.openxmlformats.org/officeDocument/2006/relationships/image" Target="../media/image161.png"/><Relationship Id="rId2" Type="http://schemas.openxmlformats.org/officeDocument/2006/relationships/image" Target="../media/image156.gif"/><Relationship Id="rId1" Type="http://schemas.openxmlformats.org/officeDocument/2006/relationships/image" Target="../media/image155.jpeg"/><Relationship Id="rId6" Type="http://schemas.openxmlformats.org/officeDocument/2006/relationships/image" Target="../media/image160.png"/><Relationship Id="rId5" Type="http://schemas.openxmlformats.org/officeDocument/2006/relationships/image" Target="../media/image159.png"/><Relationship Id="rId4" Type="http://schemas.openxmlformats.org/officeDocument/2006/relationships/image" Target="../media/image15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0.png"/><Relationship Id="rId13" Type="http://schemas.openxmlformats.org/officeDocument/2006/relationships/image" Target="../media/image175.png"/><Relationship Id="rId18" Type="http://schemas.openxmlformats.org/officeDocument/2006/relationships/image" Target="../media/image180.png"/><Relationship Id="rId3" Type="http://schemas.openxmlformats.org/officeDocument/2006/relationships/image" Target="../media/image165.jpeg"/><Relationship Id="rId21" Type="http://schemas.openxmlformats.org/officeDocument/2006/relationships/image" Target="../media/image183.png"/><Relationship Id="rId7" Type="http://schemas.openxmlformats.org/officeDocument/2006/relationships/image" Target="../media/image169.jpeg"/><Relationship Id="rId12" Type="http://schemas.openxmlformats.org/officeDocument/2006/relationships/image" Target="../media/image174.png"/><Relationship Id="rId17" Type="http://schemas.openxmlformats.org/officeDocument/2006/relationships/image" Target="../media/image179.png"/><Relationship Id="rId2" Type="http://schemas.openxmlformats.org/officeDocument/2006/relationships/image" Target="../media/image164.gif"/><Relationship Id="rId16" Type="http://schemas.openxmlformats.org/officeDocument/2006/relationships/image" Target="../media/image178.png"/><Relationship Id="rId20" Type="http://schemas.openxmlformats.org/officeDocument/2006/relationships/image" Target="../media/image182.png"/><Relationship Id="rId1" Type="http://schemas.openxmlformats.org/officeDocument/2006/relationships/image" Target="../media/image163.jpeg"/><Relationship Id="rId6" Type="http://schemas.openxmlformats.org/officeDocument/2006/relationships/image" Target="../media/image168.png"/><Relationship Id="rId11" Type="http://schemas.openxmlformats.org/officeDocument/2006/relationships/image" Target="../media/image173.png"/><Relationship Id="rId5" Type="http://schemas.openxmlformats.org/officeDocument/2006/relationships/image" Target="../media/image167.png"/><Relationship Id="rId15" Type="http://schemas.openxmlformats.org/officeDocument/2006/relationships/image" Target="../media/image177.png"/><Relationship Id="rId23" Type="http://schemas.openxmlformats.org/officeDocument/2006/relationships/image" Target="../media/image185.png"/><Relationship Id="rId10" Type="http://schemas.openxmlformats.org/officeDocument/2006/relationships/image" Target="../media/image172.png"/><Relationship Id="rId19" Type="http://schemas.openxmlformats.org/officeDocument/2006/relationships/image" Target="../media/image181.png"/><Relationship Id="rId4" Type="http://schemas.openxmlformats.org/officeDocument/2006/relationships/image" Target="../media/image166.jpeg"/><Relationship Id="rId9" Type="http://schemas.openxmlformats.org/officeDocument/2006/relationships/image" Target="../media/image171.png"/><Relationship Id="rId14" Type="http://schemas.openxmlformats.org/officeDocument/2006/relationships/image" Target="../media/image176.png"/><Relationship Id="rId22" Type="http://schemas.openxmlformats.org/officeDocument/2006/relationships/image" Target="../media/image18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3.png"/><Relationship Id="rId13" Type="http://schemas.openxmlformats.org/officeDocument/2006/relationships/image" Target="../media/image198.png"/><Relationship Id="rId18" Type="http://schemas.openxmlformats.org/officeDocument/2006/relationships/image" Target="../media/image203.png"/><Relationship Id="rId26" Type="http://schemas.openxmlformats.org/officeDocument/2006/relationships/image" Target="../media/image211.png"/><Relationship Id="rId3" Type="http://schemas.openxmlformats.org/officeDocument/2006/relationships/image" Target="../media/image188.png"/><Relationship Id="rId21" Type="http://schemas.openxmlformats.org/officeDocument/2006/relationships/image" Target="../media/image206.gif"/><Relationship Id="rId7" Type="http://schemas.openxmlformats.org/officeDocument/2006/relationships/image" Target="../media/image192.png"/><Relationship Id="rId12" Type="http://schemas.openxmlformats.org/officeDocument/2006/relationships/image" Target="../media/image197.png"/><Relationship Id="rId17" Type="http://schemas.openxmlformats.org/officeDocument/2006/relationships/image" Target="../media/image202.png"/><Relationship Id="rId25" Type="http://schemas.openxmlformats.org/officeDocument/2006/relationships/image" Target="../media/image210.png"/><Relationship Id="rId2" Type="http://schemas.openxmlformats.org/officeDocument/2006/relationships/image" Target="../media/image187.png"/><Relationship Id="rId16" Type="http://schemas.openxmlformats.org/officeDocument/2006/relationships/image" Target="../media/image201.png"/><Relationship Id="rId20" Type="http://schemas.openxmlformats.org/officeDocument/2006/relationships/image" Target="../media/image205.jpeg"/><Relationship Id="rId29" Type="http://schemas.openxmlformats.org/officeDocument/2006/relationships/image" Target="../media/image214.png"/><Relationship Id="rId1" Type="http://schemas.openxmlformats.org/officeDocument/2006/relationships/image" Target="../media/image186.png"/><Relationship Id="rId6" Type="http://schemas.openxmlformats.org/officeDocument/2006/relationships/image" Target="../media/image191.png"/><Relationship Id="rId11" Type="http://schemas.openxmlformats.org/officeDocument/2006/relationships/image" Target="../media/image196.png"/><Relationship Id="rId24" Type="http://schemas.openxmlformats.org/officeDocument/2006/relationships/image" Target="../media/image209.png"/><Relationship Id="rId5" Type="http://schemas.openxmlformats.org/officeDocument/2006/relationships/image" Target="../media/image190.png"/><Relationship Id="rId15" Type="http://schemas.openxmlformats.org/officeDocument/2006/relationships/image" Target="../media/image200.png"/><Relationship Id="rId23" Type="http://schemas.openxmlformats.org/officeDocument/2006/relationships/image" Target="../media/image208.png"/><Relationship Id="rId28" Type="http://schemas.openxmlformats.org/officeDocument/2006/relationships/image" Target="../media/image213.png"/><Relationship Id="rId10" Type="http://schemas.openxmlformats.org/officeDocument/2006/relationships/image" Target="../media/image195.png"/><Relationship Id="rId19" Type="http://schemas.openxmlformats.org/officeDocument/2006/relationships/image" Target="../media/image204.jpeg"/><Relationship Id="rId4" Type="http://schemas.openxmlformats.org/officeDocument/2006/relationships/image" Target="../media/image189.png"/><Relationship Id="rId9" Type="http://schemas.openxmlformats.org/officeDocument/2006/relationships/image" Target="../media/image194.png"/><Relationship Id="rId14" Type="http://schemas.openxmlformats.org/officeDocument/2006/relationships/image" Target="../media/image199.png"/><Relationship Id="rId22" Type="http://schemas.openxmlformats.org/officeDocument/2006/relationships/image" Target="../media/image207.png"/><Relationship Id="rId27" Type="http://schemas.openxmlformats.org/officeDocument/2006/relationships/image" Target="../media/image21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2.png"/><Relationship Id="rId13" Type="http://schemas.openxmlformats.org/officeDocument/2006/relationships/image" Target="../media/image227.png"/><Relationship Id="rId3" Type="http://schemas.openxmlformats.org/officeDocument/2006/relationships/image" Target="../media/image217.png"/><Relationship Id="rId7" Type="http://schemas.openxmlformats.org/officeDocument/2006/relationships/image" Target="../media/image221.png"/><Relationship Id="rId12" Type="http://schemas.openxmlformats.org/officeDocument/2006/relationships/image" Target="../media/image226.png"/><Relationship Id="rId2" Type="http://schemas.openxmlformats.org/officeDocument/2006/relationships/image" Target="../media/image216.png"/><Relationship Id="rId1" Type="http://schemas.openxmlformats.org/officeDocument/2006/relationships/image" Target="../media/image215.png"/><Relationship Id="rId6" Type="http://schemas.openxmlformats.org/officeDocument/2006/relationships/image" Target="../media/image220.png"/><Relationship Id="rId11" Type="http://schemas.openxmlformats.org/officeDocument/2006/relationships/image" Target="../media/image225.png"/><Relationship Id="rId5" Type="http://schemas.openxmlformats.org/officeDocument/2006/relationships/image" Target="../media/image219.png"/><Relationship Id="rId10" Type="http://schemas.openxmlformats.org/officeDocument/2006/relationships/image" Target="../media/image224.png"/><Relationship Id="rId4" Type="http://schemas.openxmlformats.org/officeDocument/2006/relationships/image" Target="../media/image218.png"/><Relationship Id="rId9" Type="http://schemas.openxmlformats.org/officeDocument/2006/relationships/image" Target="../media/image22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5.png"/><Relationship Id="rId13" Type="http://schemas.openxmlformats.org/officeDocument/2006/relationships/image" Target="../media/image238.png"/><Relationship Id="rId3" Type="http://schemas.openxmlformats.org/officeDocument/2006/relationships/image" Target="../media/image230.png"/><Relationship Id="rId7" Type="http://schemas.openxmlformats.org/officeDocument/2006/relationships/image" Target="../media/image234.png"/><Relationship Id="rId12" Type="http://schemas.openxmlformats.org/officeDocument/2006/relationships/image" Target="../media/image226.png"/><Relationship Id="rId2" Type="http://schemas.openxmlformats.org/officeDocument/2006/relationships/image" Target="../media/image229.png"/><Relationship Id="rId1" Type="http://schemas.openxmlformats.org/officeDocument/2006/relationships/image" Target="../media/image228.png"/><Relationship Id="rId6" Type="http://schemas.openxmlformats.org/officeDocument/2006/relationships/image" Target="../media/image233.png"/><Relationship Id="rId11" Type="http://schemas.openxmlformats.org/officeDocument/2006/relationships/image" Target="../media/image62.png"/><Relationship Id="rId5" Type="http://schemas.openxmlformats.org/officeDocument/2006/relationships/image" Target="../media/image232.png"/><Relationship Id="rId10" Type="http://schemas.openxmlformats.org/officeDocument/2006/relationships/image" Target="../media/image237.png"/><Relationship Id="rId4" Type="http://schemas.openxmlformats.org/officeDocument/2006/relationships/image" Target="../media/image231.png"/><Relationship Id="rId9" Type="http://schemas.openxmlformats.org/officeDocument/2006/relationships/image" Target="../media/image236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51.png"/><Relationship Id="rId18" Type="http://schemas.openxmlformats.org/officeDocument/2006/relationships/image" Target="../media/image256.jpeg"/><Relationship Id="rId26" Type="http://schemas.openxmlformats.org/officeDocument/2006/relationships/image" Target="../media/image264.gif"/><Relationship Id="rId39" Type="http://schemas.openxmlformats.org/officeDocument/2006/relationships/image" Target="../media/image277.jpeg"/><Relationship Id="rId21" Type="http://schemas.openxmlformats.org/officeDocument/2006/relationships/image" Target="../media/image259.jpeg"/><Relationship Id="rId34" Type="http://schemas.openxmlformats.org/officeDocument/2006/relationships/image" Target="../media/image272.jpeg"/><Relationship Id="rId42" Type="http://schemas.openxmlformats.org/officeDocument/2006/relationships/image" Target="../media/image280.jpeg"/><Relationship Id="rId47" Type="http://schemas.openxmlformats.org/officeDocument/2006/relationships/image" Target="../media/image285.png"/><Relationship Id="rId50" Type="http://schemas.openxmlformats.org/officeDocument/2006/relationships/image" Target="../media/image288.png"/><Relationship Id="rId55" Type="http://schemas.openxmlformats.org/officeDocument/2006/relationships/image" Target="../media/image293.png"/><Relationship Id="rId63" Type="http://schemas.openxmlformats.org/officeDocument/2006/relationships/image" Target="../media/image301.png"/><Relationship Id="rId7" Type="http://schemas.openxmlformats.org/officeDocument/2006/relationships/image" Target="../media/image245.jpeg"/><Relationship Id="rId2" Type="http://schemas.openxmlformats.org/officeDocument/2006/relationships/image" Target="../media/image240.jpeg"/><Relationship Id="rId16" Type="http://schemas.openxmlformats.org/officeDocument/2006/relationships/image" Target="../media/image254.jpeg"/><Relationship Id="rId20" Type="http://schemas.openxmlformats.org/officeDocument/2006/relationships/image" Target="../media/image258.jpeg"/><Relationship Id="rId29" Type="http://schemas.openxmlformats.org/officeDocument/2006/relationships/image" Target="../media/image267.png"/><Relationship Id="rId41" Type="http://schemas.openxmlformats.org/officeDocument/2006/relationships/image" Target="../media/image279.jpeg"/><Relationship Id="rId54" Type="http://schemas.openxmlformats.org/officeDocument/2006/relationships/image" Target="../media/image292.png"/><Relationship Id="rId62" Type="http://schemas.openxmlformats.org/officeDocument/2006/relationships/image" Target="../media/image300.png"/><Relationship Id="rId1" Type="http://schemas.openxmlformats.org/officeDocument/2006/relationships/image" Target="../media/image239.png"/><Relationship Id="rId6" Type="http://schemas.openxmlformats.org/officeDocument/2006/relationships/image" Target="../media/image244.jpeg"/><Relationship Id="rId11" Type="http://schemas.openxmlformats.org/officeDocument/2006/relationships/image" Target="../media/image249.png"/><Relationship Id="rId24" Type="http://schemas.openxmlformats.org/officeDocument/2006/relationships/image" Target="../media/image262.gif"/><Relationship Id="rId32" Type="http://schemas.openxmlformats.org/officeDocument/2006/relationships/image" Target="../media/image270.png"/><Relationship Id="rId37" Type="http://schemas.openxmlformats.org/officeDocument/2006/relationships/image" Target="../media/image275.jpeg"/><Relationship Id="rId40" Type="http://schemas.openxmlformats.org/officeDocument/2006/relationships/image" Target="../media/image278.png"/><Relationship Id="rId45" Type="http://schemas.openxmlformats.org/officeDocument/2006/relationships/image" Target="../media/image283.png"/><Relationship Id="rId53" Type="http://schemas.openxmlformats.org/officeDocument/2006/relationships/image" Target="../media/image291.png"/><Relationship Id="rId58" Type="http://schemas.openxmlformats.org/officeDocument/2006/relationships/image" Target="../media/image296.png"/><Relationship Id="rId5" Type="http://schemas.openxmlformats.org/officeDocument/2006/relationships/image" Target="../media/image243.jpeg"/><Relationship Id="rId15" Type="http://schemas.openxmlformats.org/officeDocument/2006/relationships/image" Target="../media/image253.png"/><Relationship Id="rId23" Type="http://schemas.openxmlformats.org/officeDocument/2006/relationships/image" Target="../media/image261.png"/><Relationship Id="rId28" Type="http://schemas.openxmlformats.org/officeDocument/2006/relationships/image" Target="../media/image266.jpeg"/><Relationship Id="rId36" Type="http://schemas.openxmlformats.org/officeDocument/2006/relationships/image" Target="../media/image274.jpeg"/><Relationship Id="rId49" Type="http://schemas.openxmlformats.org/officeDocument/2006/relationships/image" Target="../media/image287.png"/><Relationship Id="rId57" Type="http://schemas.openxmlformats.org/officeDocument/2006/relationships/image" Target="../media/image295.png"/><Relationship Id="rId61" Type="http://schemas.openxmlformats.org/officeDocument/2006/relationships/image" Target="../media/image299.png"/><Relationship Id="rId10" Type="http://schemas.openxmlformats.org/officeDocument/2006/relationships/image" Target="../media/image248.png"/><Relationship Id="rId19" Type="http://schemas.openxmlformats.org/officeDocument/2006/relationships/image" Target="../media/image257.png"/><Relationship Id="rId31" Type="http://schemas.openxmlformats.org/officeDocument/2006/relationships/image" Target="../media/image269.jpeg"/><Relationship Id="rId44" Type="http://schemas.openxmlformats.org/officeDocument/2006/relationships/image" Target="../media/image282.png"/><Relationship Id="rId52" Type="http://schemas.openxmlformats.org/officeDocument/2006/relationships/image" Target="../media/image290.png"/><Relationship Id="rId60" Type="http://schemas.openxmlformats.org/officeDocument/2006/relationships/image" Target="../media/image298.png"/><Relationship Id="rId65" Type="http://schemas.openxmlformats.org/officeDocument/2006/relationships/image" Target="../media/image303.png"/><Relationship Id="rId4" Type="http://schemas.openxmlformats.org/officeDocument/2006/relationships/image" Target="../media/image242.jpeg"/><Relationship Id="rId9" Type="http://schemas.openxmlformats.org/officeDocument/2006/relationships/image" Target="../media/image247.jpeg"/><Relationship Id="rId14" Type="http://schemas.openxmlformats.org/officeDocument/2006/relationships/image" Target="../media/image252.png"/><Relationship Id="rId22" Type="http://schemas.openxmlformats.org/officeDocument/2006/relationships/image" Target="../media/image260.jpeg"/><Relationship Id="rId27" Type="http://schemas.openxmlformats.org/officeDocument/2006/relationships/image" Target="../media/image265.jpeg"/><Relationship Id="rId30" Type="http://schemas.openxmlformats.org/officeDocument/2006/relationships/image" Target="../media/image268.jpeg"/><Relationship Id="rId35" Type="http://schemas.openxmlformats.org/officeDocument/2006/relationships/image" Target="../media/image273.jpeg"/><Relationship Id="rId43" Type="http://schemas.openxmlformats.org/officeDocument/2006/relationships/image" Target="../media/image281.png"/><Relationship Id="rId48" Type="http://schemas.openxmlformats.org/officeDocument/2006/relationships/image" Target="../media/image286.png"/><Relationship Id="rId56" Type="http://schemas.openxmlformats.org/officeDocument/2006/relationships/image" Target="../media/image294.png"/><Relationship Id="rId64" Type="http://schemas.openxmlformats.org/officeDocument/2006/relationships/image" Target="../media/image302.png"/><Relationship Id="rId8" Type="http://schemas.openxmlformats.org/officeDocument/2006/relationships/image" Target="../media/image246.jpeg"/><Relationship Id="rId51" Type="http://schemas.openxmlformats.org/officeDocument/2006/relationships/image" Target="../media/image289.png"/><Relationship Id="rId3" Type="http://schemas.openxmlformats.org/officeDocument/2006/relationships/image" Target="../media/image241.jpeg"/><Relationship Id="rId12" Type="http://schemas.openxmlformats.org/officeDocument/2006/relationships/image" Target="../media/image250.png"/><Relationship Id="rId17" Type="http://schemas.openxmlformats.org/officeDocument/2006/relationships/image" Target="../media/image255.jpeg"/><Relationship Id="rId25" Type="http://schemas.openxmlformats.org/officeDocument/2006/relationships/image" Target="../media/image263.jpeg"/><Relationship Id="rId33" Type="http://schemas.openxmlformats.org/officeDocument/2006/relationships/image" Target="../media/image271.jpeg"/><Relationship Id="rId38" Type="http://schemas.openxmlformats.org/officeDocument/2006/relationships/image" Target="../media/image276.jpeg"/><Relationship Id="rId46" Type="http://schemas.openxmlformats.org/officeDocument/2006/relationships/image" Target="../media/image284.png"/><Relationship Id="rId59" Type="http://schemas.openxmlformats.org/officeDocument/2006/relationships/image" Target="../media/image2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1809750</xdr:colOff>
      <xdr:row>104</xdr:row>
      <xdr:rowOff>57150</xdr:rowOff>
    </xdr:from>
    <xdr:to>
      <xdr:col>5</xdr:col>
      <xdr:colOff>2419350</xdr:colOff>
      <xdr:row>105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09750" y="16411575"/>
          <a:ext cx="60960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344279</xdr:colOff>
      <xdr:row>261</xdr:row>
      <xdr:rowOff>234340</xdr:rowOff>
    </xdr:from>
    <xdr:to>
      <xdr:col>6</xdr:col>
      <xdr:colOff>2305050</xdr:colOff>
      <xdr:row>268</xdr:row>
      <xdr:rowOff>19051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4654" y="51888415"/>
          <a:ext cx="1960771" cy="122298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</xdr:colOff>
      <xdr:row>24</xdr:row>
      <xdr:rowOff>66675</xdr:rowOff>
    </xdr:from>
    <xdr:to>
      <xdr:col>9</xdr:col>
      <xdr:colOff>142875</xdr:colOff>
      <xdr:row>25</xdr:row>
      <xdr:rowOff>179070</xdr:rowOff>
    </xdr:to>
    <xdr:sp macro="" textlink="">
      <xdr:nvSpPr>
        <xdr:cNvPr id="50" name="AutoShape 1" descr="Bildergebnis für Zeitdilatation bilder"/>
        <xdr:cNvSpPr>
          <a:spLocks noChangeAspect="1" noChangeArrowheads="1"/>
        </xdr:cNvSpPr>
      </xdr:nvSpPr>
      <xdr:spPr bwMode="auto">
        <a:xfrm>
          <a:off x="9667875" y="4467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304800</xdr:colOff>
      <xdr:row>14</xdr:row>
      <xdr:rowOff>118109</xdr:rowOff>
    </xdr:to>
    <xdr:sp macro="" textlink="">
      <xdr:nvSpPr>
        <xdr:cNvPr id="1033" name="AutoShape 9" descr="Bildergebnis für Lichtgeschwindigkeit und Bi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647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143691</xdr:colOff>
      <xdr:row>447</xdr:row>
      <xdr:rowOff>7620</xdr:rowOff>
    </xdr:from>
    <xdr:to>
      <xdr:col>6</xdr:col>
      <xdr:colOff>2628900</xdr:colOff>
      <xdr:row>453</xdr:row>
      <xdr:rowOff>99279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53791" y="85580220"/>
          <a:ext cx="4870269" cy="12803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1920240</xdr:colOff>
      <xdr:row>196</xdr:row>
      <xdr:rowOff>144659</xdr:rowOff>
    </xdr:from>
    <xdr:to>
      <xdr:col>1</xdr:col>
      <xdr:colOff>3517722</xdr:colOff>
      <xdr:row>204</xdr:row>
      <xdr:rowOff>108586</xdr:rowOff>
    </xdr:to>
    <xdr:pic>
      <xdr:nvPicPr>
        <xdr:cNvPr id="10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73580" y="37215959"/>
          <a:ext cx="1597482" cy="15031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182880</xdr:colOff>
      <xdr:row>130</xdr:row>
      <xdr:rowOff>41673</xdr:rowOff>
    </xdr:from>
    <xdr:to>
      <xdr:col>1</xdr:col>
      <xdr:colOff>2590800</xdr:colOff>
      <xdr:row>138</xdr:row>
      <xdr:rowOff>20954</xdr:rowOff>
    </xdr:to>
    <xdr:pic>
      <xdr:nvPicPr>
        <xdr:cNvPr id="10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6220" y="24730473"/>
          <a:ext cx="2407920" cy="14880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1112520</xdr:colOff>
      <xdr:row>57</xdr:row>
      <xdr:rowOff>53340</xdr:rowOff>
    </xdr:from>
    <xdr:to>
      <xdr:col>1</xdr:col>
      <xdr:colOff>3534322</xdr:colOff>
      <xdr:row>64</xdr:row>
      <xdr:rowOff>164992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5860" y="10645140"/>
          <a:ext cx="2421802" cy="140705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83820</xdr:colOff>
      <xdr:row>311</xdr:row>
      <xdr:rowOff>182993</xdr:rowOff>
    </xdr:from>
    <xdr:to>
      <xdr:col>1</xdr:col>
      <xdr:colOff>2800350</xdr:colOff>
      <xdr:row>316</xdr:row>
      <xdr:rowOff>184635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7160" y="59641853"/>
          <a:ext cx="2716530" cy="99224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509628</xdr:colOff>
      <xdr:row>409</xdr:row>
      <xdr:rowOff>197522</xdr:rowOff>
    </xdr:from>
    <xdr:to>
      <xdr:col>6</xdr:col>
      <xdr:colOff>2796540</xdr:colOff>
      <xdr:row>417</xdr:row>
      <xdr:rowOff>166465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21808" y="78500642"/>
          <a:ext cx="3269892" cy="155390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304800</xdr:colOff>
      <xdr:row>290</xdr:row>
      <xdr:rowOff>104775</xdr:rowOff>
    </xdr:to>
    <xdr:sp macro="" textlink="">
      <xdr:nvSpPr>
        <xdr:cNvPr id="1044" name="AutoShape 3" descr="Bildergebnis für durchmesser andromeda galaxie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51158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304800</xdr:colOff>
      <xdr:row>484</xdr:row>
      <xdr:rowOff>104775</xdr:rowOff>
    </xdr:to>
    <xdr:sp macro="" textlink="">
      <xdr:nvSpPr>
        <xdr:cNvPr id="1052" name="AutoShape 1" descr="http://atomictheoryandscientistbiography.wikispaces.com/file/view/planck.jpg/537328450/218x339/planck.jpg"/>
        <xdr:cNvSpPr>
          <a:spLocks noChangeAspect="1" noChangeArrowheads="1"/>
        </xdr:cNvSpPr>
      </xdr:nvSpPr>
      <xdr:spPr bwMode="auto">
        <a:xfrm>
          <a:off x="4972050" y="86458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587374</xdr:colOff>
      <xdr:row>482</xdr:row>
      <xdr:rowOff>0</xdr:rowOff>
    </xdr:from>
    <xdr:to>
      <xdr:col>5</xdr:col>
      <xdr:colOff>269209</xdr:colOff>
      <xdr:row>490</xdr:row>
      <xdr:rowOff>30947</xdr:rowOff>
    </xdr:to>
    <xdr:sp macro="" textlink="">
      <xdr:nvSpPr>
        <xdr:cNvPr id="1055" name="AutoShape 2" descr="http://atomictheoryandscientistbiography.wikispaces.com/file/view/planck.jpg/537328450/218x339/planck.jpg"/>
        <xdr:cNvSpPr>
          <a:spLocks noChangeAspect="1" noChangeArrowheads="1"/>
        </xdr:cNvSpPr>
      </xdr:nvSpPr>
      <xdr:spPr bwMode="auto">
        <a:xfrm>
          <a:off x="4968874" y="85478788"/>
          <a:ext cx="1595959" cy="15876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485</xdr:row>
      <xdr:rowOff>0</xdr:rowOff>
    </xdr:from>
    <xdr:to>
      <xdr:col>3</xdr:col>
      <xdr:colOff>304800</xdr:colOff>
      <xdr:row>486</xdr:row>
      <xdr:rowOff>112395</xdr:rowOff>
    </xdr:to>
    <xdr:sp macro="" textlink="">
      <xdr:nvSpPr>
        <xdr:cNvPr id="1058" name="AutoShape 5" descr="Max Planck"/>
        <xdr:cNvSpPr>
          <a:spLocks noChangeAspect="1" noChangeArrowheads="1"/>
        </xdr:cNvSpPr>
      </xdr:nvSpPr>
      <xdr:spPr bwMode="auto">
        <a:xfrm>
          <a:off x="4972050" y="8685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151203</xdr:colOff>
      <xdr:row>492</xdr:row>
      <xdr:rowOff>15188</xdr:rowOff>
    </xdr:from>
    <xdr:to>
      <xdr:col>6</xdr:col>
      <xdr:colOff>1011236</xdr:colOff>
      <xdr:row>498</xdr:row>
      <xdr:rowOff>125413</xdr:rowOff>
    </xdr:to>
    <xdr:sp macro="" textlink="">
      <xdr:nvSpPr>
        <xdr:cNvPr id="1057" name="AutoShape 2" descr="http://www.energieverbraucher.de/files_db/1417791897_723__12.jpg"/>
        <xdr:cNvSpPr>
          <a:spLocks noChangeAspect="1" noChangeArrowheads="1"/>
        </xdr:cNvSpPr>
      </xdr:nvSpPr>
      <xdr:spPr bwMode="auto">
        <a:xfrm>
          <a:off x="6620266" y="87565813"/>
          <a:ext cx="1317233" cy="131037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495</xdr:row>
      <xdr:rowOff>0</xdr:rowOff>
    </xdr:from>
    <xdr:to>
      <xdr:col>6</xdr:col>
      <xdr:colOff>304800</xdr:colOff>
      <xdr:row>496</xdr:row>
      <xdr:rowOff>103187</xdr:rowOff>
    </xdr:to>
    <xdr:sp macro="" textlink="">
      <xdr:nvSpPr>
        <xdr:cNvPr id="1069" name="AutoShape 12" descr="https://upload.wikimedia.org/wikipedia/commons/thumb/0/0e/BlackbodySpectrum_loglog_150dpi_de.png/440px-BlackbodySpectrum_loglog_150dpi_de.png"/>
        <xdr:cNvSpPr>
          <a:spLocks noChangeAspect="1" noChangeArrowheads="1"/>
        </xdr:cNvSpPr>
      </xdr:nvSpPr>
      <xdr:spPr bwMode="auto">
        <a:xfrm>
          <a:off x="6848475" y="88858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496</xdr:row>
      <xdr:rowOff>0</xdr:rowOff>
    </xdr:from>
    <xdr:to>
      <xdr:col>6</xdr:col>
      <xdr:colOff>304800</xdr:colOff>
      <xdr:row>497</xdr:row>
      <xdr:rowOff>103188</xdr:rowOff>
    </xdr:to>
    <xdr:sp macro="" textlink="">
      <xdr:nvSpPr>
        <xdr:cNvPr id="1072" name="AutoShape 15" descr="http://www.energieverbraucher.de/files_db/1417791897_723__12.jpg"/>
        <xdr:cNvSpPr>
          <a:spLocks noChangeAspect="1" noChangeArrowheads="1"/>
        </xdr:cNvSpPr>
      </xdr:nvSpPr>
      <xdr:spPr bwMode="auto">
        <a:xfrm>
          <a:off x="6848475" y="89058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501</xdr:row>
      <xdr:rowOff>0</xdr:rowOff>
    </xdr:from>
    <xdr:to>
      <xdr:col>4</xdr:col>
      <xdr:colOff>304800</xdr:colOff>
      <xdr:row>502</xdr:row>
      <xdr:rowOff>103188</xdr:rowOff>
    </xdr:to>
    <xdr:sp macro="" textlink="">
      <xdr:nvSpPr>
        <xdr:cNvPr id="1073" name="AutoShape 16" descr="http://www.energieverbraucher.de/files_db/1417791897_723__12.jpg"/>
        <xdr:cNvSpPr>
          <a:spLocks noChangeAspect="1" noChangeArrowheads="1"/>
        </xdr:cNvSpPr>
      </xdr:nvSpPr>
      <xdr:spPr bwMode="auto">
        <a:xfrm>
          <a:off x="6848475" y="88658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539</xdr:row>
      <xdr:rowOff>0</xdr:rowOff>
    </xdr:from>
    <xdr:to>
      <xdr:col>6</xdr:col>
      <xdr:colOff>304800</xdr:colOff>
      <xdr:row>540</xdr:row>
      <xdr:rowOff>74612</xdr:rowOff>
    </xdr:to>
    <xdr:sp macro="" textlink="">
      <xdr:nvSpPr>
        <xdr:cNvPr id="1086" name="AutoShape 29" descr="http://me-lrt.de/img/mt-28-plancksches-strahlungsgesetz-spektrum.png"/>
        <xdr:cNvSpPr>
          <a:spLocks noChangeAspect="1" noChangeArrowheads="1"/>
        </xdr:cNvSpPr>
      </xdr:nvSpPr>
      <xdr:spPr bwMode="auto">
        <a:xfrm>
          <a:off x="6848475" y="93659325"/>
          <a:ext cx="304800" cy="304800"/>
        </a:xfrm>
        <a:prstGeom prst="rect">
          <a:avLst/>
        </a:prstGeom>
        <a:noFill/>
      </xdr:spPr>
      <xdr:txBody>
        <a:bodyPr/>
        <a:lstStyle/>
        <a:p>
          <a:endParaRPr lang="de-DE"/>
        </a:p>
      </xdr:txBody>
    </xdr:sp>
    <xdr:clientData/>
  </xdr:twoCellAnchor>
  <xdr:twoCellAnchor editAs="oneCell">
    <xdr:from>
      <xdr:col>6</xdr:col>
      <xdr:colOff>0</xdr:colOff>
      <xdr:row>532</xdr:row>
      <xdr:rowOff>0</xdr:rowOff>
    </xdr:from>
    <xdr:to>
      <xdr:col>6</xdr:col>
      <xdr:colOff>304800</xdr:colOff>
      <xdr:row>533</xdr:row>
      <xdr:rowOff>85725</xdr:rowOff>
    </xdr:to>
    <xdr:sp macro="" textlink="">
      <xdr:nvSpPr>
        <xdr:cNvPr id="1063" name="AutoShape 2" descr="Bildergebnis für Schwarzkörperstrahlung bilder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6848475" y="10362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333375</xdr:colOff>
      <xdr:row>495</xdr:row>
      <xdr:rowOff>2730</xdr:rowOff>
    </xdr:from>
    <xdr:to>
      <xdr:col>7</xdr:col>
      <xdr:colOff>43113</xdr:colOff>
      <xdr:row>506</xdr:row>
      <xdr:rowOff>55599</xdr:rowOff>
    </xdr:to>
    <xdr:pic>
      <xdr:nvPicPr>
        <xdr:cNvPr id="1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200775" y="99034155"/>
          <a:ext cx="3390900" cy="225314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406799</xdr:colOff>
      <xdr:row>483</xdr:row>
      <xdr:rowOff>144462</xdr:rowOff>
    </xdr:from>
    <xdr:to>
      <xdr:col>4</xdr:col>
      <xdr:colOff>165931</xdr:colOff>
      <xdr:row>492</xdr:row>
      <xdr:rowOff>52704</xdr:rowOff>
    </xdr:to>
    <xdr:pic>
      <xdr:nvPicPr>
        <xdr:cNvPr id="1061" name="Picture 1" descr="http://www.ihdsl.de/wp-content/uploads/2015/05/220px-Max_planck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21649" y="96747012"/>
          <a:ext cx="1119301" cy="167798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426720</xdr:colOff>
      <xdr:row>520</xdr:row>
      <xdr:rowOff>145233</xdr:rowOff>
    </xdr:from>
    <xdr:to>
      <xdr:col>6</xdr:col>
      <xdr:colOff>2423160</xdr:colOff>
      <xdr:row>522</xdr:row>
      <xdr:rowOff>64064</xdr:rowOff>
    </xdr:to>
    <xdr:pic>
      <xdr:nvPicPr>
        <xdr:cNvPr id="2049" name="Picture 1" descr="M(\lambda) \cdot \mathrm{d}\lambda = \frac{2 \cdot \pi \cdot c \cdot k_\mathrm{B} \cdot T}{\lambda^4} \cdot \mathrm{d}\lambda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21880" y="99921513"/>
          <a:ext cx="1996440" cy="29983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1910630</xdr:colOff>
      <xdr:row>113</xdr:row>
      <xdr:rowOff>213359</xdr:rowOff>
    </xdr:from>
    <xdr:to>
      <xdr:col>6</xdr:col>
      <xdr:colOff>2758439</xdr:colOff>
      <xdr:row>119</xdr:row>
      <xdr:rowOff>192404</xdr:rowOff>
    </xdr:to>
    <xdr:pic>
      <xdr:nvPicPr>
        <xdr:cNvPr id="1120" name="Picture 1" descr="https://upload.wikimedia.org/wikipedia/commons/thumb/0/05/Karl_schwarzschild.portrait.jpg/170px-Karl_schwarzschild.portrait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05790" y="21480779"/>
          <a:ext cx="847809" cy="11601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53338</xdr:colOff>
      <xdr:row>173</xdr:row>
      <xdr:rowOff>68580</xdr:rowOff>
    </xdr:from>
    <xdr:to>
      <xdr:col>2</xdr:col>
      <xdr:colOff>221347</xdr:colOff>
      <xdr:row>187</xdr:row>
      <xdr:rowOff>137160</xdr:rowOff>
    </xdr:to>
    <xdr:pic>
      <xdr:nvPicPr>
        <xdr:cNvPr id="1125" name="Picture 3" descr="http://www.mallitsj.de/keplergesetze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6678" y="32865060"/>
          <a:ext cx="4724769" cy="26898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323850</xdr:colOff>
      <xdr:row>523</xdr:row>
      <xdr:rowOff>47624</xdr:rowOff>
    </xdr:from>
    <xdr:to>
      <xdr:col>6</xdr:col>
      <xdr:colOff>2295525</xdr:colOff>
      <xdr:row>531</xdr:row>
      <xdr:rowOff>79355</xdr:rowOff>
    </xdr:to>
    <xdr:pic>
      <xdr:nvPicPr>
        <xdr:cNvPr id="1123" name="Picture 1" descr="http://hydrogen.physik.uni-wuppertal.de/hyperphysics/hyperphysics/hbase/imgmod/uvcatas.gif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77025" y="104089199"/>
          <a:ext cx="2428875" cy="156335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2990144</xdr:colOff>
      <xdr:row>15</xdr:row>
      <xdr:rowOff>140280</xdr:rowOff>
    </xdr:from>
    <xdr:to>
      <xdr:col>1</xdr:col>
      <xdr:colOff>4061460</xdr:colOff>
      <xdr:row>22</xdr:row>
      <xdr:rowOff>15240</xdr:rowOff>
    </xdr:to>
    <xdr:pic>
      <xdr:nvPicPr>
        <xdr:cNvPr id="1138" name="Picture 10" descr="Bildergebnis für maxwell gleichungen bilder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043484" y="2929200"/>
          <a:ext cx="1071316" cy="11703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520066</xdr:colOff>
      <xdr:row>176</xdr:row>
      <xdr:rowOff>163416</xdr:rowOff>
    </xdr:from>
    <xdr:to>
      <xdr:col>4</xdr:col>
      <xdr:colOff>243840</xdr:colOff>
      <xdr:row>184</xdr:row>
      <xdr:rowOff>129540</xdr:rowOff>
    </xdr:to>
    <xdr:pic>
      <xdr:nvPicPr>
        <xdr:cNvPr id="1140" name="Picture 1" descr="https://upload.wikimedia.org/wikipedia/commons/thumb/d/d4/Johannes_Kepler_1610.jpg/220px-Johannes_Kepler_1610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30166" y="33554256"/>
          <a:ext cx="1125854" cy="142916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</xdr:colOff>
      <xdr:row>232</xdr:row>
      <xdr:rowOff>22860</xdr:rowOff>
    </xdr:from>
    <xdr:to>
      <xdr:col>10</xdr:col>
      <xdr:colOff>234316</xdr:colOff>
      <xdr:row>238</xdr:row>
      <xdr:rowOff>156210</xdr:rowOff>
    </xdr:to>
    <xdr:sp macro="" textlink="">
      <xdr:nvSpPr>
        <xdr:cNvPr id="1026" name="AutoShape 2" descr="E_\mathrm{kin} = \frac{1}{2} \, m \cdot v^2 \quad \mathrm{bei} \ v \ll c"/>
        <xdr:cNvSpPr>
          <a:spLocks noChangeAspect="1" noChangeArrowheads="1"/>
        </xdr:cNvSpPr>
      </xdr:nvSpPr>
      <xdr:spPr bwMode="auto">
        <a:xfrm>
          <a:off x="9944100" y="44074080"/>
          <a:ext cx="1362075" cy="132207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233</xdr:row>
      <xdr:rowOff>0</xdr:rowOff>
    </xdr:from>
    <xdr:to>
      <xdr:col>9</xdr:col>
      <xdr:colOff>123825</xdr:colOff>
      <xdr:row>234</xdr:row>
      <xdr:rowOff>104775</xdr:rowOff>
    </xdr:to>
    <xdr:sp macro="" textlink="">
      <xdr:nvSpPr>
        <xdr:cNvPr id="1142" name="AutoShape 4" descr="E_\mathrm{kin} = \frac{1}{2} \, m \cdot v^2 \quad \mathrm{bei} \ v \ll c"/>
        <xdr:cNvSpPr>
          <a:spLocks noChangeAspect="1" noChangeArrowheads="1"/>
        </xdr:cNvSpPr>
      </xdr:nvSpPr>
      <xdr:spPr bwMode="auto">
        <a:xfrm>
          <a:off x="11172825" y="45748575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5</xdr:col>
      <xdr:colOff>1809750</xdr:colOff>
      <xdr:row>111</xdr:row>
      <xdr:rowOff>57150</xdr:rowOff>
    </xdr:from>
    <xdr:to>
      <xdr:col>5</xdr:col>
      <xdr:colOff>2419350</xdr:colOff>
      <xdr:row>112</xdr:row>
      <xdr:rowOff>19050</xdr:rowOff>
    </xdr:to>
    <xdr:pic>
      <xdr:nvPicPr>
        <xdr:cNvPr id="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810375" y="21212175"/>
          <a:ext cx="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209551</xdr:colOff>
      <xdr:row>325</xdr:row>
      <xdr:rowOff>40051</xdr:rowOff>
    </xdr:from>
    <xdr:to>
      <xdr:col>1</xdr:col>
      <xdr:colOff>1295401</xdr:colOff>
      <xdr:row>332</xdr:row>
      <xdr:rowOff>13334</xdr:rowOff>
    </xdr:to>
    <xdr:pic>
      <xdr:nvPicPr>
        <xdr:cNvPr id="31" name="Picture 1" descr="Edwin Hubble. Bild: Carnegie Institution of Washington (Bruce Medal 1938)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62891" y="61906831"/>
          <a:ext cx="1085850" cy="135250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180975</xdr:colOff>
      <xdr:row>261</xdr:row>
      <xdr:rowOff>21373</xdr:rowOff>
    </xdr:from>
    <xdr:to>
      <xdr:col>4</xdr:col>
      <xdr:colOff>297182</xdr:colOff>
      <xdr:row>266</xdr:row>
      <xdr:rowOff>171450</xdr:rowOff>
    </xdr:to>
    <xdr:pic>
      <xdr:nvPicPr>
        <xdr:cNvPr id="1126" name="Picture 2" descr="Christian Doppler. Bild: wikipedia (University of St. Andrews, Scotland)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210175" y="51389698"/>
          <a:ext cx="942976" cy="118830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276226</xdr:colOff>
      <xdr:row>82</xdr:row>
      <xdr:rowOff>19116</xdr:rowOff>
    </xdr:from>
    <xdr:to>
      <xdr:col>1</xdr:col>
      <xdr:colOff>2495550</xdr:colOff>
      <xdr:row>87</xdr:row>
      <xdr:rowOff>190499</xdr:rowOff>
    </xdr:to>
    <xdr:pic>
      <xdr:nvPicPr>
        <xdr:cNvPr id="1146" name="Picture 1" descr="Bezugssystem+Lichtgeschw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61951" y="15925866"/>
          <a:ext cx="2219324" cy="114293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396240</xdr:colOff>
      <xdr:row>503</xdr:row>
      <xdr:rowOff>2</xdr:rowOff>
    </xdr:from>
    <xdr:to>
      <xdr:col>1</xdr:col>
      <xdr:colOff>2750820</xdr:colOff>
      <xdr:row>509</xdr:row>
      <xdr:rowOff>18968</xdr:rowOff>
    </xdr:to>
    <xdr:pic>
      <xdr:nvPicPr>
        <xdr:cNvPr id="1149" name="Picture 4" descr="http://scilogs.spektrum.de/kosmo/gallery/6/previews-med/planck_cmb_21Mar2013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49580" y="96545402"/>
          <a:ext cx="2354580" cy="117720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452</xdr:row>
      <xdr:rowOff>138244</xdr:rowOff>
    </xdr:from>
    <xdr:to>
      <xdr:col>1</xdr:col>
      <xdr:colOff>2862396</xdr:colOff>
      <xdr:row>469</xdr:row>
      <xdr:rowOff>20857</xdr:rowOff>
    </xdr:to>
    <xdr:pic>
      <xdr:nvPicPr>
        <xdr:cNvPr id="49" name="Picture 6" descr="http://physik.uni-graz.at/~cbl/QM/contents/Projekte_2004/p1/G2_Doppelspalt/Images/DSVersuchsaufbau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86381404"/>
          <a:ext cx="2906211" cy="32049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590286</xdr:colOff>
      <xdr:row>483</xdr:row>
      <xdr:rowOff>0</xdr:rowOff>
    </xdr:from>
    <xdr:to>
      <xdr:col>6</xdr:col>
      <xdr:colOff>2371724</xdr:colOff>
      <xdr:row>489</xdr:row>
      <xdr:rowOff>22860</xdr:rowOff>
    </xdr:to>
    <xdr:pic>
      <xdr:nvPicPr>
        <xdr:cNvPr id="1031" name="Picture 7" descr="https://ap.iqo.uni-hannover.de/lib/exe/fetch.php?cache=&amp;media=d_optikundatomphysik:hohlraum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400661" y="96002475"/>
          <a:ext cx="1781438" cy="11906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520</xdr:row>
      <xdr:rowOff>0</xdr:rowOff>
    </xdr:from>
    <xdr:to>
      <xdr:col>10</xdr:col>
      <xdr:colOff>304800</xdr:colOff>
      <xdr:row>521</xdr:row>
      <xdr:rowOff>114300</xdr:rowOff>
    </xdr:to>
    <xdr:sp macro="" textlink="">
      <xdr:nvSpPr>
        <xdr:cNvPr id="36" name="AutoShape 2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1210925" y="103403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33513</xdr:colOff>
      <xdr:row>288</xdr:row>
      <xdr:rowOff>25065</xdr:rowOff>
    </xdr:from>
    <xdr:to>
      <xdr:col>6</xdr:col>
      <xdr:colOff>2656824</xdr:colOff>
      <xdr:row>295</xdr:row>
      <xdr:rowOff>0</xdr:rowOff>
    </xdr:to>
    <xdr:pic>
      <xdr:nvPicPr>
        <xdr:cNvPr id="43" name="Picture 4" descr="Bildergebnis für kollision von galaxien Bilder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45693" y="55209105"/>
          <a:ext cx="3606291" cy="1361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234314</xdr:colOff>
      <xdr:row>471</xdr:row>
      <xdr:rowOff>77263</xdr:rowOff>
    </xdr:from>
    <xdr:to>
      <xdr:col>1</xdr:col>
      <xdr:colOff>2668734</xdr:colOff>
      <xdr:row>479</xdr:row>
      <xdr:rowOff>45720</xdr:rowOff>
    </xdr:to>
    <xdr:pic>
      <xdr:nvPicPr>
        <xdr:cNvPr id="52" name="Picture 5" descr="Bildergebnis für matter as waves Bilder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7654" y="90313303"/>
          <a:ext cx="2434420" cy="15534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184802</xdr:colOff>
      <xdr:row>196</xdr:row>
      <xdr:rowOff>114299</xdr:rowOff>
    </xdr:from>
    <xdr:to>
      <xdr:col>1</xdr:col>
      <xdr:colOff>1813560</xdr:colOff>
      <xdr:row>204</xdr:row>
      <xdr:rowOff>59694</xdr:rowOff>
    </xdr:to>
    <xdr:pic>
      <xdr:nvPicPr>
        <xdr:cNvPr id="59" name="Picture 2" descr="Bildergebnis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42" y="37139879"/>
          <a:ext cx="1628758" cy="14846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561974</xdr:colOff>
      <xdr:row>238</xdr:row>
      <xdr:rowOff>108347</xdr:rowOff>
    </xdr:from>
    <xdr:to>
      <xdr:col>1</xdr:col>
      <xdr:colOff>1752599</xdr:colOff>
      <xdr:row>241</xdr:row>
      <xdr:rowOff>133350</xdr:rowOff>
    </xdr:to>
    <xdr:pic>
      <xdr:nvPicPr>
        <xdr:cNvPr id="62" name="Picture 4" descr="Bildergebnis für Relation Masse, Energie, Impuls + Bilder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7699" y="47247572"/>
          <a:ext cx="1190625" cy="625078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657224</xdr:colOff>
      <xdr:row>122</xdr:row>
      <xdr:rowOff>9524</xdr:rowOff>
    </xdr:from>
    <xdr:to>
      <xdr:col>18</xdr:col>
      <xdr:colOff>628649</xdr:colOff>
      <xdr:row>144</xdr:row>
      <xdr:rowOff>133349</xdr:rowOff>
    </xdr:to>
    <xdr:sp macro="" textlink="">
      <xdr:nvSpPr>
        <xdr:cNvPr id="97" name="AutoShape 5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4287499" y="23841074"/>
          <a:ext cx="4543425" cy="4543425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279</xdr:row>
      <xdr:rowOff>0</xdr:rowOff>
    </xdr:from>
    <xdr:to>
      <xdr:col>9</xdr:col>
      <xdr:colOff>304800</xdr:colOff>
      <xdr:row>280</xdr:row>
      <xdr:rowOff>104775</xdr:rowOff>
    </xdr:to>
    <xdr:sp macro="" textlink="">
      <xdr:nvSpPr>
        <xdr:cNvPr id="2" name="AutoShape 1" descr="Bildergebnis für dopplereffekt rot-blau-verschiebung Bilder"/>
        <xdr:cNvSpPr>
          <a:spLocks noChangeAspect="1" noChangeArrowheads="1"/>
        </xdr:cNvSpPr>
      </xdr:nvSpPr>
      <xdr:spPr bwMode="auto">
        <a:xfrm>
          <a:off x="10410825" y="54168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173784</xdr:colOff>
      <xdr:row>276</xdr:row>
      <xdr:rowOff>38099</xdr:rowOff>
    </xdr:from>
    <xdr:to>
      <xdr:col>1</xdr:col>
      <xdr:colOff>2971800</xdr:colOff>
      <xdr:row>283</xdr:row>
      <xdr:rowOff>194797</xdr:rowOff>
    </xdr:to>
    <xdr:pic>
      <xdr:nvPicPr>
        <xdr:cNvPr id="105" name="Picture 5" descr="https://www.leifiphysik.de/sites/default/files/medien/verschiebung_wellenmodelllicht_ver.gif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9509" y="55035449"/>
          <a:ext cx="2798016" cy="155687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598170</xdr:colOff>
      <xdr:row>514</xdr:row>
      <xdr:rowOff>11882</xdr:rowOff>
    </xdr:from>
    <xdr:to>
      <xdr:col>6</xdr:col>
      <xdr:colOff>2247900</xdr:colOff>
      <xdr:row>517</xdr:row>
      <xdr:rowOff>164645</xdr:rowOff>
    </xdr:to>
    <xdr:pic>
      <xdr:nvPicPr>
        <xdr:cNvPr id="21" name="Picture 2" descr="http://www.schulphysik.de/java/physlet/planck/formel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593330" y="98629922"/>
          <a:ext cx="1649730" cy="70140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152400</xdr:colOff>
      <xdr:row>531</xdr:row>
      <xdr:rowOff>142137</xdr:rowOff>
    </xdr:from>
    <xdr:to>
      <xdr:col>6</xdr:col>
      <xdr:colOff>2695574</xdr:colOff>
      <xdr:row>540</xdr:row>
      <xdr:rowOff>165734</xdr:rowOff>
    </xdr:to>
    <xdr:pic>
      <xdr:nvPicPr>
        <xdr:cNvPr id="42" name="Picture 3" descr="Bildergebnis für plancksche strahlungsformel bilder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24625" y="106098237"/>
          <a:ext cx="3000374" cy="17819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23326</xdr:colOff>
      <xdr:row>212</xdr:row>
      <xdr:rowOff>144780</xdr:rowOff>
    </xdr:from>
    <xdr:to>
      <xdr:col>1</xdr:col>
      <xdr:colOff>3304061</xdr:colOff>
      <xdr:row>222</xdr:row>
      <xdr:rowOff>177166</xdr:rowOff>
    </xdr:to>
    <xdr:pic>
      <xdr:nvPicPr>
        <xdr:cNvPr id="16" name="Picture 1" descr="imag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666" y="40332660"/>
          <a:ext cx="3280735" cy="196786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523</xdr:row>
      <xdr:rowOff>0</xdr:rowOff>
    </xdr:from>
    <xdr:to>
      <xdr:col>10</xdr:col>
      <xdr:colOff>304800</xdr:colOff>
      <xdr:row>524</xdr:row>
      <xdr:rowOff>114300</xdr:rowOff>
    </xdr:to>
    <xdr:sp macro="" textlink="">
      <xdr:nvSpPr>
        <xdr:cNvPr id="18" name="AutoShape 1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1210925" y="10404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523</xdr:row>
      <xdr:rowOff>0</xdr:rowOff>
    </xdr:from>
    <xdr:to>
      <xdr:col>10</xdr:col>
      <xdr:colOff>304800</xdr:colOff>
      <xdr:row>524</xdr:row>
      <xdr:rowOff>114300</xdr:rowOff>
    </xdr:to>
    <xdr:sp macro="" textlink="">
      <xdr:nvSpPr>
        <xdr:cNvPr id="101" name="AutoShape 3" descr="M(\lambda )\cdot {\mathrm  {d}}\lambda ={\frac  {2\cdot \pi \cdot h\cdot c^{2}}{\lambda ^{5}}}\cdot {\frac  {1}{e^{{\left({\frac  {h\cdot c}{\lambda \cdot k_{{\mathrm  {B}}}\cdot T}}\right)}}-1}}\cdot {\mathrm  {d}}\lambda "/>
        <xdr:cNvSpPr>
          <a:spLocks noChangeAspect="1" noChangeArrowheads="1"/>
        </xdr:cNvSpPr>
      </xdr:nvSpPr>
      <xdr:spPr bwMode="auto">
        <a:xfrm>
          <a:off x="11210925" y="10404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525</xdr:row>
      <xdr:rowOff>0</xdr:rowOff>
    </xdr:from>
    <xdr:to>
      <xdr:col>10</xdr:col>
      <xdr:colOff>304800</xdr:colOff>
      <xdr:row>526</xdr:row>
      <xdr:rowOff>106680</xdr:rowOff>
    </xdr:to>
    <xdr:sp macro="" textlink="">
      <xdr:nvSpPr>
        <xdr:cNvPr id="108" name="AutoShape 7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0410825" y="104994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518</xdr:row>
      <xdr:rowOff>0</xdr:rowOff>
    </xdr:from>
    <xdr:to>
      <xdr:col>10</xdr:col>
      <xdr:colOff>304800</xdr:colOff>
      <xdr:row>519</xdr:row>
      <xdr:rowOff>121920</xdr:rowOff>
    </xdr:to>
    <xdr:sp macro="" textlink="">
      <xdr:nvSpPr>
        <xdr:cNvPr id="111" name="AutoShape 9" descr="Bildergebnis für rayleigh jeans Formel bilder"/>
        <xdr:cNvSpPr>
          <a:spLocks noChangeAspect="1" noChangeArrowheads="1"/>
        </xdr:cNvSpPr>
      </xdr:nvSpPr>
      <xdr:spPr bwMode="auto">
        <a:xfrm>
          <a:off x="11210925" y="10307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530</xdr:row>
      <xdr:rowOff>0</xdr:rowOff>
    </xdr:from>
    <xdr:to>
      <xdr:col>9</xdr:col>
      <xdr:colOff>304800</xdr:colOff>
      <xdr:row>531</xdr:row>
      <xdr:rowOff>114300</xdr:rowOff>
    </xdr:to>
    <xdr:sp macro="" textlink="">
      <xdr:nvSpPr>
        <xdr:cNvPr id="1036" name="AutoShape 12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0410825" y="1053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528</xdr:row>
      <xdr:rowOff>0</xdr:rowOff>
    </xdr:from>
    <xdr:to>
      <xdr:col>9</xdr:col>
      <xdr:colOff>304800</xdr:colOff>
      <xdr:row>529</xdr:row>
      <xdr:rowOff>114300</xdr:rowOff>
    </xdr:to>
    <xdr:sp macro="" textlink="">
      <xdr:nvSpPr>
        <xdr:cNvPr id="1037" name="AutoShape 13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0410825" y="104994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800099</xdr:colOff>
      <xdr:row>527</xdr:row>
      <xdr:rowOff>19050</xdr:rowOff>
    </xdr:from>
    <xdr:to>
      <xdr:col>10</xdr:col>
      <xdr:colOff>885825</xdr:colOff>
      <xdr:row>532</xdr:row>
      <xdr:rowOff>93345</xdr:rowOff>
    </xdr:to>
    <xdr:sp macro="" textlink="">
      <xdr:nvSpPr>
        <xdr:cNvPr id="1038" name="AutoShape 14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1210924" y="104822625"/>
          <a:ext cx="1019175" cy="1019175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530</xdr:row>
      <xdr:rowOff>0</xdr:rowOff>
    </xdr:from>
    <xdr:to>
      <xdr:col>10</xdr:col>
      <xdr:colOff>304800</xdr:colOff>
      <xdr:row>531</xdr:row>
      <xdr:rowOff>114300</xdr:rowOff>
    </xdr:to>
    <xdr:sp macro="" textlink="">
      <xdr:nvSpPr>
        <xdr:cNvPr id="1039" name="AutoShape 15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1210925" y="1053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120316</xdr:colOff>
      <xdr:row>527</xdr:row>
      <xdr:rowOff>16043</xdr:rowOff>
    </xdr:from>
    <xdr:to>
      <xdr:col>10</xdr:col>
      <xdr:colOff>425116</xdr:colOff>
      <xdr:row>528</xdr:row>
      <xdr:rowOff>130343</xdr:rowOff>
    </xdr:to>
    <xdr:sp macro="" textlink="">
      <xdr:nvSpPr>
        <xdr:cNvPr id="1041" name="AutoShape 17" descr="M(\lambda )\cdot {\mathrm  {d}}\lambda ={\frac  {2\cdot \pi \cdot c\cdot k_{{\mathrm  {B}}}\cdot T}{\lambda ^{4}}}\cdot {\mathrm  {d}}\lambda "/>
        <xdr:cNvSpPr>
          <a:spLocks noChangeAspect="1" noChangeArrowheads="1"/>
        </xdr:cNvSpPr>
      </xdr:nvSpPr>
      <xdr:spPr bwMode="auto">
        <a:xfrm>
          <a:off x="11197390" y="101907475"/>
          <a:ext cx="304800" cy="298784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1188720</xdr:colOff>
      <xdr:row>66</xdr:row>
      <xdr:rowOff>104295</xdr:rowOff>
    </xdr:from>
    <xdr:to>
      <xdr:col>1</xdr:col>
      <xdr:colOff>3383280</xdr:colOff>
      <xdr:row>74</xdr:row>
      <xdr:rowOff>8028</xdr:rowOff>
    </xdr:to>
    <xdr:pic>
      <xdr:nvPicPr>
        <xdr:cNvPr id="9" name="Picture 1" descr="Bildergebnis für Längenkontraktion bilder kostenlos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242060" y="12364875"/>
          <a:ext cx="2194560" cy="135915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137160</xdr:colOff>
      <xdr:row>336</xdr:row>
      <xdr:rowOff>164222</xdr:rowOff>
    </xdr:from>
    <xdr:to>
      <xdr:col>7</xdr:col>
      <xdr:colOff>9824</xdr:colOff>
      <xdr:row>346</xdr:row>
      <xdr:rowOff>219165</xdr:rowOff>
    </xdr:to>
    <xdr:pic>
      <xdr:nvPicPr>
        <xdr:cNvPr id="27" name="Picture 4" descr="Bildergebnis für Urknall bilder bilder kostenlos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47260" y="64423682"/>
          <a:ext cx="5061884" cy="20437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118</xdr:row>
      <xdr:rowOff>28575</xdr:rowOff>
    </xdr:from>
    <xdr:to>
      <xdr:col>1</xdr:col>
      <xdr:colOff>2009775</xdr:colOff>
      <xdr:row>127</xdr:row>
      <xdr:rowOff>129540</xdr:rowOff>
    </xdr:to>
    <xdr:pic>
      <xdr:nvPicPr>
        <xdr:cNvPr id="41" name="Picture 5" descr="Bildergebnis für Urknall bilder bilder kostenlos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4775" y="23021925"/>
          <a:ext cx="1905000" cy="1905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60960</xdr:colOff>
      <xdr:row>153</xdr:row>
      <xdr:rowOff>32449</xdr:rowOff>
    </xdr:from>
    <xdr:to>
      <xdr:col>1</xdr:col>
      <xdr:colOff>2308860</xdr:colOff>
      <xdr:row>160</xdr:row>
      <xdr:rowOff>142578</xdr:rowOff>
    </xdr:to>
    <xdr:pic>
      <xdr:nvPicPr>
        <xdr:cNvPr id="3073" name="Picture 1" descr="Bildergebnis für raketenstart bilder kostenlos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4300" y="29072269"/>
          <a:ext cx="2247900" cy="144362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2999300</xdr:colOff>
      <xdr:row>471</xdr:row>
      <xdr:rowOff>187237</xdr:rowOff>
    </xdr:from>
    <xdr:to>
      <xdr:col>6</xdr:col>
      <xdr:colOff>2734076</xdr:colOff>
      <xdr:row>481</xdr:row>
      <xdr:rowOff>167640</xdr:rowOff>
    </xdr:to>
    <xdr:pic>
      <xdr:nvPicPr>
        <xdr:cNvPr id="3076" name="Picture 4" descr="Bildergebnis für Elektromagnetische Wellen bilder kostenlos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90740" y="90156577"/>
          <a:ext cx="6676196" cy="196160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304800</xdr:colOff>
      <xdr:row>28</xdr:row>
      <xdr:rowOff>22860</xdr:rowOff>
    </xdr:to>
    <xdr:sp macro="" textlink="">
      <xdr:nvSpPr>
        <xdr:cNvPr id="3079" name="AutoShape 7" descr="Bildergebnis für Elektromagnetische Wellen bilder kostenlos"/>
        <xdr:cNvSpPr>
          <a:spLocks noChangeAspect="1" noChangeArrowheads="1"/>
        </xdr:cNvSpPr>
      </xdr:nvSpPr>
      <xdr:spPr bwMode="auto">
        <a:xfrm>
          <a:off x="11210925" y="493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670560</xdr:colOff>
      <xdr:row>105</xdr:row>
      <xdr:rowOff>68580</xdr:rowOff>
    </xdr:from>
    <xdr:to>
      <xdr:col>1</xdr:col>
      <xdr:colOff>2122488</xdr:colOff>
      <xdr:row>111</xdr:row>
      <xdr:rowOff>175260</xdr:rowOff>
    </xdr:to>
    <xdr:pic>
      <xdr:nvPicPr>
        <xdr:cNvPr id="17" name="Picture 2" descr="https://www.lernhelfer.de/sites/default/files/lexicon/image/BWS-PHY2-0089-01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3900" y="19872960"/>
          <a:ext cx="1451928" cy="12649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1409700</xdr:colOff>
      <xdr:row>93</xdr:row>
      <xdr:rowOff>40092</xdr:rowOff>
    </xdr:from>
    <xdr:to>
      <xdr:col>7</xdr:col>
      <xdr:colOff>1805</xdr:colOff>
      <xdr:row>100</xdr:row>
      <xdr:rowOff>26670</xdr:rowOff>
    </xdr:to>
    <xdr:pic>
      <xdr:nvPicPr>
        <xdr:cNvPr id="15" name="Picture 1" descr="https://upload.wikimedia.org/wikipedia/commons/thumb/f/f2/Cavendish_Torsion_Balance_Diagram_de.svg/220px-Cavendish_Torsion_Balance_Diagram_de.svg.pn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8404860" y="17451792"/>
          <a:ext cx="1396265" cy="139627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472441</xdr:colOff>
      <xdr:row>174</xdr:row>
      <xdr:rowOff>151316</xdr:rowOff>
    </xdr:from>
    <xdr:to>
      <xdr:col>6</xdr:col>
      <xdr:colOff>2796541</xdr:colOff>
      <xdr:row>184</xdr:row>
      <xdr:rowOff>160020</xdr:rowOff>
    </xdr:to>
    <xdr:pic>
      <xdr:nvPicPr>
        <xdr:cNvPr id="54" name="Picture 1" descr="Das Sonnensystem mit den acht Planeten (künstlerische Darstellung).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84621" y="33176396"/>
          <a:ext cx="3307080" cy="189846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138</xdr:row>
      <xdr:rowOff>247650</xdr:rowOff>
    </xdr:from>
    <xdr:to>
      <xdr:col>6</xdr:col>
      <xdr:colOff>2666999</xdr:colOff>
      <xdr:row>142</xdr:row>
      <xdr:rowOff>147827</xdr:rowOff>
    </xdr:to>
    <xdr:pic>
      <xdr:nvPicPr>
        <xdr:cNvPr id="60" name="Picture 1" descr="Lichtablenkung im Schwerefeld der Sonn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962775" y="27546300"/>
          <a:ext cx="2533649" cy="73837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15240</xdr:colOff>
      <xdr:row>12</xdr:row>
      <xdr:rowOff>91440</xdr:rowOff>
    </xdr:from>
    <xdr:to>
      <xdr:col>4</xdr:col>
      <xdr:colOff>502920</xdr:colOff>
      <xdr:row>18</xdr:row>
      <xdr:rowOff>170604</xdr:rowOff>
    </xdr:to>
    <xdr:pic>
      <xdr:nvPicPr>
        <xdr:cNvPr id="104" name="Picture 1" descr="https://www.blikk.it/blikk/angebote/primarmathe/bilder/ma3110a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625340" y="2324100"/>
          <a:ext cx="1889760" cy="117644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1173480</xdr:colOff>
      <xdr:row>287</xdr:row>
      <xdr:rowOff>16580</xdr:rowOff>
    </xdr:from>
    <xdr:to>
      <xdr:col>1</xdr:col>
      <xdr:colOff>3434204</xdr:colOff>
      <xdr:row>294</xdr:row>
      <xdr:rowOff>178901</xdr:rowOff>
    </xdr:to>
    <xdr:pic>
      <xdr:nvPicPr>
        <xdr:cNvPr id="144" name="Picture 2" descr="Bildergebnis für andromedagalaxie absolute helligkeit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264920" y="54758660"/>
          <a:ext cx="2260724" cy="1549161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396</xdr:row>
      <xdr:rowOff>0</xdr:rowOff>
    </xdr:from>
    <xdr:to>
      <xdr:col>10</xdr:col>
      <xdr:colOff>304800</xdr:colOff>
      <xdr:row>397</xdr:row>
      <xdr:rowOff>121920</xdr:rowOff>
    </xdr:to>
    <xdr:sp macro="" textlink="">
      <xdr:nvSpPr>
        <xdr:cNvPr id="1124" name="AutoShape 6" descr="Bildergebnis fÃ¼r formel unschÃ¤rferelation bilder"/>
        <xdr:cNvSpPr>
          <a:spLocks noChangeAspect="1" noChangeArrowheads="1"/>
        </xdr:cNvSpPr>
      </xdr:nvSpPr>
      <xdr:spPr bwMode="auto">
        <a:xfrm>
          <a:off x="11087100" y="75643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1097280</xdr:colOff>
      <xdr:row>395</xdr:row>
      <xdr:rowOff>142874</xdr:rowOff>
    </xdr:from>
    <xdr:to>
      <xdr:col>6</xdr:col>
      <xdr:colOff>2682240</xdr:colOff>
      <xdr:row>400</xdr:row>
      <xdr:rowOff>180061</xdr:rowOff>
    </xdr:to>
    <xdr:pic>
      <xdr:nvPicPr>
        <xdr:cNvPr id="151" name="Grafik 150" descr="http://4.bp.blogspot.com/_9H40K8bTYZo/TLhcEOmtKRI/AAAAAAAAAKo/dwem8T0FGRI/s400/12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40" y="75725654"/>
          <a:ext cx="1584960" cy="966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1070810</xdr:colOff>
      <xdr:row>449</xdr:row>
      <xdr:rowOff>6417</xdr:rowOff>
    </xdr:from>
    <xdr:to>
      <xdr:col>1</xdr:col>
      <xdr:colOff>1840430</xdr:colOff>
      <xdr:row>450</xdr:row>
      <xdr:rowOff>145983</xdr:rowOff>
    </xdr:to>
    <xdr:pic>
      <xdr:nvPicPr>
        <xdr:cNvPr id="150" name="Grafik 14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21" y="86609722"/>
          <a:ext cx="769620" cy="34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450</xdr:row>
      <xdr:rowOff>167640</xdr:rowOff>
    </xdr:from>
    <xdr:to>
      <xdr:col>1</xdr:col>
      <xdr:colOff>2529840</xdr:colOff>
      <xdr:row>453</xdr:row>
      <xdr:rowOff>68580</xdr:rowOff>
    </xdr:to>
    <xdr:pic>
      <xdr:nvPicPr>
        <xdr:cNvPr id="168" name="Grafik 167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" y="86090760"/>
          <a:ext cx="100584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395</xdr:row>
      <xdr:rowOff>151426</xdr:rowOff>
    </xdr:from>
    <xdr:to>
      <xdr:col>6</xdr:col>
      <xdr:colOff>833166</xdr:colOff>
      <xdr:row>400</xdr:row>
      <xdr:rowOff>167638</xdr:rowOff>
    </xdr:to>
    <xdr:pic>
      <xdr:nvPicPr>
        <xdr:cNvPr id="189" name="Grafik 188" descr="https://upload.wikimedia.org/wikipedia/commons/f/f0/Werner_Heisenberg_Briefmarke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75734206"/>
          <a:ext cx="1084626" cy="945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390</xdr:row>
      <xdr:rowOff>0</xdr:rowOff>
    </xdr:from>
    <xdr:to>
      <xdr:col>10</xdr:col>
      <xdr:colOff>304800</xdr:colOff>
      <xdr:row>391</xdr:row>
      <xdr:rowOff>121920</xdr:rowOff>
    </xdr:to>
    <xdr:sp macro="" textlink="">
      <xdr:nvSpPr>
        <xdr:cNvPr id="1027" name="78ZuV1WxPfLo0M:" descr="Bildergebnis für Galaxienhaufen + Fotos Hubble-Teleskop"/>
        <xdr:cNvSpPr>
          <a:spLocks noChangeAspect="1" noChangeArrowheads="1"/>
        </xdr:cNvSpPr>
      </xdr:nvSpPr>
      <xdr:spPr bwMode="auto">
        <a:xfrm>
          <a:off x="11071860" y="745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390</xdr:row>
      <xdr:rowOff>0</xdr:rowOff>
    </xdr:from>
    <xdr:to>
      <xdr:col>10</xdr:col>
      <xdr:colOff>304800</xdr:colOff>
      <xdr:row>391</xdr:row>
      <xdr:rowOff>121920</xdr:rowOff>
    </xdr:to>
    <xdr:sp macro="" textlink="">
      <xdr:nvSpPr>
        <xdr:cNvPr id="1029" name="AutoShape 5" descr="Bildergebnis für Galaxienhaufen + Fotos Hubble-Teleskop"/>
        <xdr:cNvSpPr>
          <a:spLocks noChangeAspect="1" noChangeArrowheads="1"/>
        </xdr:cNvSpPr>
      </xdr:nvSpPr>
      <xdr:spPr bwMode="auto">
        <a:xfrm>
          <a:off x="11071860" y="745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19</xdr:col>
      <xdr:colOff>754381</xdr:colOff>
      <xdr:row>138</xdr:row>
      <xdr:rowOff>190500</xdr:rowOff>
    </xdr:to>
    <xdr:sp macro="" textlink="">
      <xdr:nvSpPr>
        <xdr:cNvPr id="3" name="AutoShape 1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0111740" y="16482060"/>
          <a:ext cx="97536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304800</xdr:colOff>
      <xdr:row>90</xdr:row>
      <xdr:rowOff>99060</xdr:rowOff>
    </xdr:to>
    <xdr:sp macro="" textlink="">
      <xdr:nvSpPr>
        <xdr:cNvPr id="4" name="AutoShape 2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0111740" y="16482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304800</xdr:colOff>
      <xdr:row>90</xdr:row>
      <xdr:rowOff>99060</xdr:rowOff>
    </xdr:to>
    <xdr:sp macro="" textlink="">
      <xdr:nvSpPr>
        <xdr:cNvPr id="1028" name="AutoShape 4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0111740" y="16482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91</xdr:row>
      <xdr:rowOff>0</xdr:rowOff>
    </xdr:from>
    <xdr:to>
      <xdr:col>10</xdr:col>
      <xdr:colOff>304800</xdr:colOff>
      <xdr:row>92</xdr:row>
      <xdr:rowOff>99060</xdr:rowOff>
    </xdr:to>
    <xdr:sp macro="" textlink="">
      <xdr:nvSpPr>
        <xdr:cNvPr id="8" name="AutoShape 5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1071860" y="168935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69783</xdr:colOff>
      <xdr:row>91</xdr:row>
      <xdr:rowOff>38100</xdr:rowOff>
    </xdr:from>
    <xdr:to>
      <xdr:col>21</xdr:col>
      <xdr:colOff>199323</xdr:colOff>
      <xdr:row>141</xdr:row>
      <xdr:rowOff>15240</xdr:rowOff>
    </xdr:to>
    <xdr:sp macro="" textlink="">
      <xdr:nvSpPr>
        <xdr:cNvPr id="10" name="AutoShape 6" descr="https://www.leifiphysik.de/sites/default/files/medien/kraft_masse_gravitationsdrehwaage.svg"/>
        <xdr:cNvSpPr>
          <a:spLocks noChangeAspect="1" noChangeArrowheads="1"/>
        </xdr:cNvSpPr>
      </xdr:nvSpPr>
      <xdr:spPr bwMode="auto">
        <a:xfrm>
          <a:off x="11065443" y="16954500"/>
          <a:ext cx="9753600" cy="975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689811</xdr:colOff>
      <xdr:row>159</xdr:row>
      <xdr:rowOff>56148</xdr:rowOff>
    </xdr:from>
    <xdr:to>
      <xdr:col>6</xdr:col>
      <xdr:colOff>1597794</xdr:colOff>
      <xdr:row>161</xdr:row>
      <xdr:rowOff>138765</xdr:rowOff>
    </xdr:to>
    <xdr:pic>
      <xdr:nvPicPr>
        <xdr:cNvPr id="192" name="Grafik 191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6253" y="30407811"/>
          <a:ext cx="907983" cy="47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729916</xdr:colOff>
      <xdr:row>172</xdr:row>
      <xdr:rowOff>32084</xdr:rowOff>
    </xdr:from>
    <xdr:to>
      <xdr:col>6</xdr:col>
      <xdr:colOff>1400476</xdr:colOff>
      <xdr:row>173</xdr:row>
      <xdr:rowOff>161625</xdr:rowOff>
    </xdr:to>
    <xdr:pic>
      <xdr:nvPicPr>
        <xdr:cNvPr id="221" name="Grafik 220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358" y="32886316"/>
          <a:ext cx="670560" cy="31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770022</xdr:colOff>
      <xdr:row>221</xdr:row>
      <xdr:rowOff>56148</xdr:rowOff>
    </xdr:from>
    <xdr:to>
      <xdr:col>6</xdr:col>
      <xdr:colOff>1783482</xdr:colOff>
      <xdr:row>223</xdr:row>
      <xdr:rowOff>154405</xdr:rowOff>
    </xdr:to>
    <xdr:pic>
      <xdr:nvPicPr>
        <xdr:cNvPr id="229" name="Grafik 228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464" y="42270948"/>
          <a:ext cx="1013460" cy="49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753980</xdr:colOff>
      <xdr:row>226</xdr:row>
      <xdr:rowOff>56147</xdr:rowOff>
    </xdr:from>
    <xdr:to>
      <xdr:col>6</xdr:col>
      <xdr:colOff>1668380</xdr:colOff>
      <xdr:row>227</xdr:row>
      <xdr:rowOff>162025</xdr:rowOff>
    </xdr:to>
    <xdr:pic>
      <xdr:nvPicPr>
        <xdr:cNvPr id="232" name="Grafik 231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422" y="43281600"/>
          <a:ext cx="914400" cy="30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553453</xdr:colOff>
      <xdr:row>244</xdr:row>
      <xdr:rowOff>16042</xdr:rowOff>
    </xdr:from>
    <xdr:to>
      <xdr:col>6</xdr:col>
      <xdr:colOff>1514776</xdr:colOff>
      <xdr:row>244</xdr:row>
      <xdr:rowOff>183682</xdr:rowOff>
    </xdr:to>
    <xdr:pic>
      <xdr:nvPicPr>
        <xdr:cNvPr id="238" name="Grafik 237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9895" y="46850968"/>
          <a:ext cx="961323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561474</xdr:colOff>
      <xdr:row>244</xdr:row>
      <xdr:rowOff>192506</xdr:rowOff>
    </xdr:from>
    <xdr:to>
      <xdr:col>6</xdr:col>
      <xdr:colOff>2553503</xdr:colOff>
      <xdr:row>248</xdr:row>
      <xdr:rowOff>35293</xdr:rowOff>
    </xdr:to>
    <xdr:pic>
      <xdr:nvPicPr>
        <xdr:cNvPr id="240" name="Grafik 239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7916" y="47027432"/>
          <a:ext cx="1992029" cy="644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545432</xdr:colOff>
      <xdr:row>248</xdr:row>
      <xdr:rowOff>16040</xdr:rowOff>
    </xdr:from>
    <xdr:to>
      <xdr:col>6</xdr:col>
      <xdr:colOff>1917032</xdr:colOff>
      <xdr:row>248</xdr:row>
      <xdr:rowOff>191300</xdr:rowOff>
    </xdr:to>
    <xdr:pic>
      <xdr:nvPicPr>
        <xdr:cNvPr id="242" name="Grafik 241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1874" y="47653072"/>
          <a:ext cx="13716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745959</xdr:colOff>
      <xdr:row>238</xdr:row>
      <xdr:rowOff>48126</xdr:rowOff>
    </xdr:from>
    <xdr:to>
      <xdr:col>6</xdr:col>
      <xdr:colOff>1721319</xdr:colOff>
      <xdr:row>240</xdr:row>
      <xdr:rowOff>167640</xdr:rowOff>
    </xdr:to>
    <xdr:pic>
      <xdr:nvPicPr>
        <xdr:cNvPr id="247" name="Grafik 246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1" y="45679894"/>
          <a:ext cx="975360" cy="52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802105</xdr:colOff>
      <xdr:row>236</xdr:row>
      <xdr:rowOff>40104</xdr:rowOff>
    </xdr:from>
    <xdr:to>
      <xdr:col>6</xdr:col>
      <xdr:colOff>1541245</xdr:colOff>
      <xdr:row>237</xdr:row>
      <xdr:rowOff>14838</xdr:rowOff>
    </xdr:to>
    <xdr:pic>
      <xdr:nvPicPr>
        <xdr:cNvPr id="248" name="Grafik 247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547" y="45270820"/>
          <a:ext cx="7391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689811</xdr:colOff>
      <xdr:row>91</xdr:row>
      <xdr:rowOff>40105</xdr:rowOff>
    </xdr:from>
    <xdr:to>
      <xdr:col>6</xdr:col>
      <xdr:colOff>1642311</xdr:colOff>
      <xdr:row>92</xdr:row>
      <xdr:rowOff>160822</xdr:rowOff>
    </xdr:to>
    <xdr:pic>
      <xdr:nvPicPr>
        <xdr:cNvPr id="167" name="Grafik 166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6253" y="17092863"/>
          <a:ext cx="952500" cy="32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705853</xdr:colOff>
      <xdr:row>89</xdr:row>
      <xdr:rowOff>32085</xdr:rowOff>
    </xdr:from>
    <xdr:to>
      <xdr:col>6</xdr:col>
      <xdr:colOff>1269733</xdr:colOff>
      <xdr:row>89</xdr:row>
      <xdr:rowOff>199725</xdr:rowOff>
    </xdr:to>
    <xdr:pic>
      <xdr:nvPicPr>
        <xdr:cNvPr id="172" name="Grafik 171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295" y="16667748"/>
          <a:ext cx="5638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657727</xdr:colOff>
      <xdr:row>103</xdr:row>
      <xdr:rowOff>32083</xdr:rowOff>
    </xdr:from>
    <xdr:to>
      <xdr:col>6</xdr:col>
      <xdr:colOff>1663567</xdr:colOff>
      <xdr:row>104</xdr:row>
      <xdr:rowOff>155606</xdr:rowOff>
    </xdr:to>
    <xdr:pic>
      <xdr:nvPicPr>
        <xdr:cNvPr id="200" name="Grafik 199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169" y="19579388"/>
          <a:ext cx="1005840" cy="316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818148</xdr:colOff>
      <xdr:row>124</xdr:row>
      <xdr:rowOff>24064</xdr:rowOff>
    </xdr:from>
    <xdr:to>
      <xdr:col>6</xdr:col>
      <xdr:colOff>1770648</xdr:colOff>
      <xdr:row>125</xdr:row>
      <xdr:rowOff>153605</xdr:rowOff>
    </xdr:to>
    <xdr:pic>
      <xdr:nvPicPr>
        <xdr:cNvPr id="227" name="Grafik 226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2506" y="23726275"/>
          <a:ext cx="952500" cy="338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882316</xdr:colOff>
      <xdr:row>126</xdr:row>
      <xdr:rowOff>40105</xdr:rowOff>
    </xdr:from>
    <xdr:to>
      <xdr:col>6</xdr:col>
      <xdr:colOff>1248076</xdr:colOff>
      <xdr:row>127</xdr:row>
      <xdr:rowOff>163229</xdr:rowOff>
    </xdr:to>
    <xdr:pic>
      <xdr:nvPicPr>
        <xdr:cNvPr id="233" name="Grafik 232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6674" y="24135347"/>
          <a:ext cx="365760" cy="307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794084</xdr:colOff>
      <xdr:row>135</xdr:row>
      <xdr:rowOff>40106</xdr:rowOff>
    </xdr:from>
    <xdr:to>
      <xdr:col>6</xdr:col>
      <xdr:colOff>1350344</xdr:colOff>
      <xdr:row>135</xdr:row>
      <xdr:rowOff>207746</xdr:rowOff>
    </xdr:to>
    <xdr:pic>
      <xdr:nvPicPr>
        <xdr:cNvPr id="241" name="Grafik 240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526" y="25819769"/>
          <a:ext cx="5562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657727</xdr:colOff>
      <xdr:row>146</xdr:row>
      <xdr:rowOff>48126</xdr:rowOff>
    </xdr:from>
    <xdr:to>
      <xdr:col>6</xdr:col>
      <xdr:colOff>1876927</xdr:colOff>
      <xdr:row>147</xdr:row>
      <xdr:rowOff>162426</xdr:rowOff>
    </xdr:to>
    <xdr:pic>
      <xdr:nvPicPr>
        <xdr:cNvPr id="246" name="Grafik 245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169" y="28017537"/>
          <a:ext cx="1219200" cy="31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1965158</xdr:colOff>
      <xdr:row>271</xdr:row>
      <xdr:rowOff>72190</xdr:rowOff>
    </xdr:from>
    <xdr:to>
      <xdr:col>6</xdr:col>
      <xdr:colOff>2231858</xdr:colOff>
      <xdr:row>272</xdr:row>
      <xdr:rowOff>156009</xdr:rowOff>
    </xdr:to>
    <xdr:pic>
      <xdr:nvPicPr>
        <xdr:cNvPr id="157" name="Grafik 156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2257158"/>
          <a:ext cx="266700" cy="28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505327</xdr:colOff>
      <xdr:row>271</xdr:row>
      <xdr:rowOff>104275</xdr:rowOff>
    </xdr:from>
    <xdr:to>
      <xdr:col>6</xdr:col>
      <xdr:colOff>947287</xdr:colOff>
      <xdr:row>272</xdr:row>
      <xdr:rowOff>71388</xdr:rowOff>
    </xdr:to>
    <xdr:pic>
      <xdr:nvPicPr>
        <xdr:cNvPr id="161" name="Grafik 160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769" y="52289243"/>
          <a:ext cx="441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705854</xdr:colOff>
      <xdr:row>274</xdr:row>
      <xdr:rowOff>56147</xdr:rowOff>
    </xdr:from>
    <xdr:to>
      <xdr:col>6</xdr:col>
      <xdr:colOff>2001254</xdr:colOff>
      <xdr:row>275</xdr:row>
      <xdr:rowOff>170448</xdr:rowOff>
    </xdr:to>
    <xdr:pic>
      <xdr:nvPicPr>
        <xdr:cNvPr id="164" name="Grafik 163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296" y="52794568"/>
          <a:ext cx="1295400" cy="31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810127</xdr:colOff>
      <xdr:row>284</xdr:row>
      <xdr:rowOff>24064</xdr:rowOff>
    </xdr:from>
    <xdr:to>
      <xdr:col>6</xdr:col>
      <xdr:colOff>1343527</xdr:colOff>
      <xdr:row>284</xdr:row>
      <xdr:rowOff>191704</xdr:rowOff>
    </xdr:to>
    <xdr:pic>
      <xdr:nvPicPr>
        <xdr:cNvPr id="169" name="Grafik 1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569" y="54767748"/>
          <a:ext cx="533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794084</xdr:colOff>
      <xdr:row>285</xdr:row>
      <xdr:rowOff>48126</xdr:rowOff>
    </xdr:from>
    <xdr:to>
      <xdr:col>6</xdr:col>
      <xdr:colOff>1937084</xdr:colOff>
      <xdr:row>287</xdr:row>
      <xdr:rowOff>0</xdr:rowOff>
    </xdr:to>
    <xdr:pic>
      <xdr:nvPicPr>
        <xdr:cNvPr id="170" name="Grafik 1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526" y="54992337"/>
          <a:ext cx="1143000" cy="35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1178694</xdr:colOff>
      <xdr:row>307</xdr:row>
      <xdr:rowOff>57350</xdr:rowOff>
    </xdr:from>
    <xdr:to>
      <xdr:col>6</xdr:col>
      <xdr:colOff>1567314</xdr:colOff>
      <xdr:row>308</xdr:row>
      <xdr:rowOff>156410</xdr:rowOff>
    </xdr:to>
    <xdr:pic>
      <xdr:nvPicPr>
        <xdr:cNvPr id="175" name="Grafik 174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3854" y="58662770"/>
          <a:ext cx="38862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216568</xdr:colOff>
      <xdr:row>313</xdr:row>
      <xdr:rowOff>64168</xdr:rowOff>
    </xdr:from>
    <xdr:to>
      <xdr:col>6</xdr:col>
      <xdr:colOff>1123348</xdr:colOff>
      <xdr:row>315</xdr:row>
      <xdr:rowOff>160821</xdr:rowOff>
    </xdr:to>
    <xdr:pic>
      <xdr:nvPicPr>
        <xdr:cNvPr id="195" name="Grafik 194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010" y="60246126"/>
          <a:ext cx="906780" cy="49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1716506</xdr:colOff>
      <xdr:row>313</xdr:row>
      <xdr:rowOff>184484</xdr:rowOff>
    </xdr:from>
    <xdr:to>
      <xdr:col>6</xdr:col>
      <xdr:colOff>2594009</xdr:colOff>
      <xdr:row>315</xdr:row>
      <xdr:rowOff>97054</xdr:rowOff>
    </xdr:to>
    <xdr:pic>
      <xdr:nvPicPr>
        <xdr:cNvPr id="198" name="Grafik 197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948" y="60366442"/>
          <a:ext cx="877503" cy="31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938463</xdr:colOff>
      <xdr:row>316</xdr:row>
      <xdr:rowOff>24061</xdr:rowOff>
    </xdr:from>
    <xdr:to>
      <xdr:col>6</xdr:col>
      <xdr:colOff>1868103</xdr:colOff>
      <xdr:row>316</xdr:row>
      <xdr:rowOff>191701</xdr:rowOff>
    </xdr:to>
    <xdr:pic>
      <xdr:nvPicPr>
        <xdr:cNvPr id="199" name="Grafik 198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4905" y="60807598"/>
          <a:ext cx="9296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962526</xdr:colOff>
      <xdr:row>317</xdr:row>
      <xdr:rowOff>48126</xdr:rowOff>
    </xdr:from>
    <xdr:to>
      <xdr:col>6</xdr:col>
      <xdr:colOff>1374006</xdr:colOff>
      <xdr:row>318</xdr:row>
      <xdr:rowOff>131947</xdr:rowOff>
    </xdr:to>
    <xdr:pic>
      <xdr:nvPicPr>
        <xdr:cNvPr id="209" name="Grafik 208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7686" y="60741426"/>
          <a:ext cx="411480" cy="28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946484</xdr:colOff>
      <xdr:row>327</xdr:row>
      <xdr:rowOff>24062</xdr:rowOff>
    </xdr:from>
    <xdr:to>
      <xdr:col>6</xdr:col>
      <xdr:colOff>1708484</xdr:colOff>
      <xdr:row>327</xdr:row>
      <xdr:rowOff>191702</xdr:rowOff>
    </xdr:to>
    <xdr:pic>
      <xdr:nvPicPr>
        <xdr:cNvPr id="214" name="Grafik 213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926" y="62941199"/>
          <a:ext cx="7620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1026695</xdr:colOff>
      <xdr:row>329</xdr:row>
      <xdr:rowOff>32084</xdr:rowOff>
    </xdr:from>
    <xdr:to>
      <xdr:col>6</xdr:col>
      <xdr:colOff>1925855</xdr:colOff>
      <xdr:row>329</xdr:row>
      <xdr:rowOff>199724</xdr:rowOff>
    </xdr:to>
    <xdr:pic>
      <xdr:nvPicPr>
        <xdr:cNvPr id="220" name="Grafik 219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137" y="63350273"/>
          <a:ext cx="8991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722296</xdr:colOff>
      <xdr:row>443</xdr:row>
      <xdr:rowOff>60158</xdr:rowOff>
    </xdr:from>
    <xdr:to>
      <xdr:col>6</xdr:col>
      <xdr:colOff>1827196</xdr:colOff>
      <xdr:row>444</xdr:row>
      <xdr:rowOff>172053</xdr:rowOff>
    </xdr:to>
    <xdr:pic>
      <xdr:nvPicPr>
        <xdr:cNvPr id="249" name="Grafik 248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456" y="84863138"/>
          <a:ext cx="1104900" cy="310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946485</xdr:colOff>
      <xdr:row>460</xdr:row>
      <xdr:rowOff>56148</xdr:rowOff>
    </xdr:from>
    <xdr:to>
      <xdr:col>6</xdr:col>
      <xdr:colOff>1700865</xdr:colOff>
      <xdr:row>461</xdr:row>
      <xdr:rowOff>193307</xdr:rowOff>
    </xdr:to>
    <xdr:pic>
      <xdr:nvPicPr>
        <xdr:cNvPr id="256" name="Grafik 255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927" y="88817116"/>
          <a:ext cx="754380" cy="337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970547</xdr:colOff>
      <xdr:row>463</xdr:row>
      <xdr:rowOff>72191</xdr:rowOff>
    </xdr:from>
    <xdr:to>
      <xdr:col>6</xdr:col>
      <xdr:colOff>1237247</xdr:colOff>
      <xdr:row>464</xdr:row>
      <xdr:rowOff>156010</xdr:rowOff>
    </xdr:to>
    <xdr:pic>
      <xdr:nvPicPr>
        <xdr:cNvPr id="257" name="Grafik 256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6989" y="89434738"/>
          <a:ext cx="266700" cy="284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946485</xdr:colOff>
      <xdr:row>466</xdr:row>
      <xdr:rowOff>32085</xdr:rowOff>
    </xdr:from>
    <xdr:to>
      <xdr:col>6</xdr:col>
      <xdr:colOff>1411305</xdr:colOff>
      <xdr:row>466</xdr:row>
      <xdr:rowOff>199725</xdr:rowOff>
    </xdr:to>
    <xdr:pic>
      <xdr:nvPicPr>
        <xdr:cNvPr id="259" name="Grafik 258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927" y="89996211"/>
          <a:ext cx="4648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705852</xdr:colOff>
      <xdr:row>554</xdr:row>
      <xdr:rowOff>128337</xdr:rowOff>
    </xdr:from>
    <xdr:to>
      <xdr:col>6</xdr:col>
      <xdr:colOff>1825992</xdr:colOff>
      <xdr:row>555</xdr:row>
      <xdr:rowOff>111493</xdr:rowOff>
    </xdr:to>
    <xdr:pic>
      <xdr:nvPicPr>
        <xdr:cNvPr id="279" name="Grafik 278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294" y="107073032"/>
          <a:ext cx="1120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480060</xdr:colOff>
      <xdr:row>253</xdr:row>
      <xdr:rowOff>15240</xdr:rowOff>
    </xdr:from>
    <xdr:to>
      <xdr:col>6</xdr:col>
      <xdr:colOff>1356360</xdr:colOff>
      <xdr:row>253</xdr:row>
      <xdr:rowOff>182880</xdr:rowOff>
    </xdr:to>
    <xdr:pic>
      <xdr:nvPicPr>
        <xdr:cNvPr id="158" name="Grafik 157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48112680"/>
          <a:ext cx="8763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563880</xdr:colOff>
      <xdr:row>256</xdr:row>
      <xdr:rowOff>22860</xdr:rowOff>
    </xdr:from>
    <xdr:to>
      <xdr:col>6</xdr:col>
      <xdr:colOff>1394460</xdr:colOff>
      <xdr:row>256</xdr:row>
      <xdr:rowOff>190500</xdr:rowOff>
    </xdr:to>
    <xdr:pic>
      <xdr:nvPicPr>
        <xdr:cNvPr id="163" name="Grafik 162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9040" y="48714660"/>
          <a:ext cx="8305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556260</xdr:colOff>
      <xdr:row>258</xdr:row>
      <xdr:rowOff>53340</xdr:rowOff>
    </xdr:from>
    <xdr:to>
      <xdr:col>6</xdr:col>
      <xdr:colOff>2461260</xdr:colOff>
      <xdr:row>259</xdr:row>
      <xdr:rowOff>167640</xdr:rowOff>
    </xdr:to>
    <xdr:pic>
      <xdr:nvPicPr>
        <xdr:cNvPr id="166" name="Grafik 165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9141380"/>
          <a:ext cx="1905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433</xdr:row>
      <xdr:rowOff>0</xdr:rowOff>
    </xdr:from>
    <xdr:to>
      <xdr:col>10</xdr:col>
      <xdr:colOff>304800</xdr:colOff>
      <xdr:row>434</xdr:row>
      <xdr:rowOff>106680</xdr:rowOff>
    </xdr:to>
    <xdr:sp macro="" textlink="">
      <xdr:nvSpPr>
        <xdr:cNvPr id="11" name="AutoShape 2" descr="data:image/png;base64,iVBORw0KGgoAAAANSUhEUgAAAZIAAAGSCAYAAADJgkf6AAAgAElEQVR4XuydB3Qj1dXHr3qXlk4gEAKh9xJKKCEsG1roJRBKgKUGCCX0DqEGWFpC6Bta6HVDgNBhaQuhJUAInQABAuzasmVbkuXv/B6a/YSQ7BlpZjQjv3uOj2E9mnnvvtH7v9v+NzBz5swR0aI1oDWgNaA1oDXQogYCGkha1Jz+mNaA1oDWgNaA0oAGEv0iaA1oDWgNaA20pQENJG2pT39Ya0BrQGtAa0ADiX4HtAa0BrQGtAba0oAGkrbUpz+sNaA1oDWgNaCBRL8DWgNaA1oDWgNtaUADSVvq0x/WGtAa0BrQGtBAot8BrQGtAa0BrYG2NKCBpC316Q9rDWgNaA1oDWgg0e+A1oDWgNaA1kBbGtBA0pb69Ie1BrQGtAa0BjSQ6HdAa0BrQGtAa6AtDWggaUt9+sNaA1oDWgNaAxpI9DugNaA1oDWgNdCWBjSQtKU+/WGtAa0BrQGtAQ0k+h3QGtAa0BrQGmhLAxpI2lKf/rDWgNaA1oDWgAYS/Q5oDWgNaA1oDbSlAQ0kbalPf1hrQGtAa0BrQAOJfge0BrQGtAa0BtrSgAaSttSnP6w1oDWgNaA1oIFEvwNaA1oDWgNaA21pQANJW+rTH9Ya0BrQGtAa0ECi3wGtAa0BrQGtgbY0oIGkLfXpD2sNaA1oDWgNaCDR74DWgNaA1oDWQFsa0EDSlvr0h7UGtAa0BrQGNJDod0BrQGtAa0BroC0NaCBpS336w1oDWgNaA1oDGkj0O6A1oDWgNaA10JYGNJC0pT79Ya0BrQGtAa0BDST6HdAa0BrQGtAaaEsDGkjaUp/+sNaA1oDWgNaABhL9DmgNaA1oDWgNtKUBDSRtqU9/WGtAa0BrQGtAA4l+B7QGtAa0BhzSwBdffCFXXXWVQ3c3d9vJkyfL3HPPbe7iFq/SQNKi4vTHtAa0BrQGxtLAm2++KYcffvhYlzX9+2effab+Nt9887V8j3PPPVeWXHLJlj9v5oMaSMxoSV+jNaA1oDXgsga++uorWWyxxdRT33nnHZlzzjldHoH5x2kgMa8rfWWHNfBCKCQPRyKyfrksa5TLHR6NfrzWgLMa+POf/yxHHHGEesg555wjv/jFL5x9YBt310DShvL0R53XQFFETkgk5KFIRN4NBmWdclmmh8Myf6WiAOWAoSFZbnjY+YHoJ2gNuKyBHXbYQR588EH11EmTJsktt9zi8gjMP04DiXld6Std1sBXgYDsn0zKiIhsUirJZuWyzFupyMxAQAHLg+GwPB8Oy6WFgrZQXF4b/TjnNTDXXHNJpVJRDwoGg/Lll186/9AWn6CBpEXF6Y85q4H/BIOyTzIp84+MyNT+/qYPOzsel8tjMbm8v18maneXs4ui7+6aBp566inZYostvgEk99xzj6y99tqujcHKgzSQWNGWvtYVDQAiO6ZSskSlMiqIGIMBTM6Nx+Wa/n7ZtFRyZYz6IVoDTmrg+OOPlyuvvFKGhobUY2KxmOy1115y2mmnOfnYlu+tgaRl1ekPOqWBQ5NJ+TwQkBtGsUTqnw2YPBiJyL19fRIbwRmmRWvAvxpYdtll5ZNPPvnGBBZYYAF57bXXPDkpDSSeXJbxO6hpkYjsnUwqQFjVQhAdO2TTdFp+Ui7LsYOD41eBeua+18CHH34oK664YsN5vPLKK7Lwwgt7bo4aSDy3JON3QAOBgAID3FNHtAAGD0QisnMqpUBIpweP3/fI7zPHpXXiiSfKwMDAN6aSSCTk1FNPVS4ur4kGEq+tyDgez2/jcXkqHJa/9vVJsEU9HJlIyPvBoNxiwS3W4qP0x7QGHNHARhttJDNmzGh479VXX10eeOABR57bzk01kLSjPf1Z2zTwRigkP8pkFABMaiNg/lkwKJul03Lo4KDsXKQKRYvWgH80MDIyMmYFOxXvgUDAU5PSQOKp5Ri/g8EaAQR+Xyi0rYSrYzH5SyQid/T1tX0vfQOtATc1gLWxyy67SLlJKns4HJbrr79esFq8JBpIvLQa43Qs/YGArJ3JyJRCQTawoRakJxCQtTIZuaxQkHVtuN84XRY97Q5oYO+995Y77rhjdv1I/RAoTNxmm23kiiuu6MDomj9SA4mnlmN8DuaaaFRuiUZVkNwuOT6READqfBssHLvGpO+jNTCWBhZddFGZOXPmqJfNMccc8u677451K1f/roHEVXXrhzXSwBbptGxdKske1eIrO7T0j1BIZYA9lc/LwlWaCTvuq++hNeCUBl5//XVVuZ7L5WY/olQqKeuEgkRDenp6hMr3ZZZZxqmhWL6vBhLLKtMfsFMDj4bDckAyKTPyeUnbXEi4ayolqwwPq8C7Fq0BP2jg7LPP/sYwp0+fLtSV1DP/HnXUUZ6ajgYSTy3H+BvMgcmkzDUyIqfU5czboQkC7meSUpzP23E7fQ+tAdc1ALAAJtOmTXP92VYeqIHEirb0tbZqoDcQkO/lcjI9n5dlLVSxWxnExExGjh8YUBXvWrQG/KYBDSR+WzE9Xtc1cGs0KjdEo3KXjUH2+kmcFo9LKRBwxOJxXWH6geNOAxpIxt2S6wlb1cBeyaQsW6k4GsN4MhwW3Gev9PZaHZ6+Xmug4xrQQNLxJdAD8LIGaNezRC4nN1skZ2xlTqtks6qm5IfavdWK+vRnOqgBDSQdVL5+tPc1cH8kIqfH4/KkC4FwaOknjIzISQ4E9L2vaT1CP2tAA4mfV0+P3XENHJFICJnxp7mwud8ZicjF8bg84gJoOa44kw94MxSSN4JB4fe/QiGJjIzIasPDskq5rH5r8YcGNJD4Y530KDukgdUzGTl9cLAtgkazQ6fH+0rZrNzf1ydLd/EmCg3/9dUEhreCQVlreFjWLJdlrXJ5do/710Ih2a5YlCt0xb/Z16ej12kg6aj69cO9rIFnw2HZM5mUl3p7lVXihuyWSqkYyUE2Vs+7MW4zz/jSAJBYTBYeHpa9i0XFMZZsUOD5Qigkk1MpBeDnumANmhm/vqa5BjSQ6LdDa6CJBmiLS8+QP7p4Kr4qFpP7wmG5rcv6lKBLrJCFKhXZq1iUbUxQ5z8TDsvPUynZZ2hIjtdV/57+nmog8fTy6MF1UgPbp1Kyeakku5nY9OwaJ3GCjdNpeb23t+FJ3a7nuHWfV0MhgXr/02BQ9h0akl0s6vKeSESOSyTkHzot2q0la+k5GkhaUpv+ULdrYCgQkCWzWcX061Q1ezMd/jCbVVT1fqeWnxqLKRDZslRSVftQzFiVvkBAlshm5b6+Plmxi+NGVvXites1kHhtRfR4PKGBp6sFgi924CS8bzKpgu2H+DROQuOvU+NxeSgclhMGBy1bIfUvwObptGxVKslkn+rDEy+0w4PQQOKwgvXt/amBi2IxgeK9E1lDV8Ri8jgd5nwYJ7k3ElEg8oNKRYHIUjZYEdDHkB58nQ/14c+33/qoNZBY15n+xDjQwC6plKxTLst+HTgFA2Ccwt/v6fGVpuEjg+YFADnMxuD49HBYCNZPc5DrzFeK9uBgNZB4cFH0kDqvgUVyObVxLW/DibqV2SyTzaoT+Koder7VMV8Wi8lJiYRc3t8vW5RKVj8+6vV/o1AzFtNAYqtW7b2ZBhJ79anv1gUaeDkUUmmnb3YgPmKoj2ZXPyqXZf8OWERWl/C8eFwuiMXkykJBNrIZRBjLHZGIELjXFonVlXHveg0k7ulaP8knGvhjLCZPdThG4YUxmFku+MGmRSJyY3+/Y2ST1J/cHI1qIDGzIB26RgNJhxSvH+tdDRAfWbvD1oAf4iT0mqdg85G+PpnfwX7zuM3oIqktEu9+ZzSQeHdt9Mg6pIFOx0eMaXtlHI2W4Qe5nOpd/7IL7r8p8bg8Gg5rIOnQ98HMYzWQmNGSvmbcaODtYFDWz2TkIw9kTO2YSsnGpZLsbrEa3MnFolBz/lxOVh4edo2l+OhEQgqBgFzkIlWNkzrsxntrIOnGVdVzalkDt0ejckU0qhh4Oy1UhX8VDMr5HtlAewIBwUqir/wdLuqHxIc1h4cd7VDZ6bX2+/M1kPh9BT00/n+HQvJ5IPCtEVGP4Rc5gdOviJznAcZZ+pNchFvHA/1JPg8GFWUMFhKBdTcFKv9jBgdlawcywtycRzc/SwNJN6+uC3ODjO/WSETuikblxVCo4RPnGBlRdOBsQpuWyxJrgXPJhamoR1AICDPtHh5wJ9GrY/VsVmbOmuXW9Bs+58NgUFbMZtVGfrXLIMKA5pkwQR7M52Uln9TUdHSxOvRwDSQdUnw3PJYWtJfEYooO46elkmxEV7sG1gd04GTd8JMPBGTDUkm25XoPnjAXyuXkzv7+hvPoxJoRj8DN1qlN9K1QSLAIdiwWXaXTN3T9n2BQVshm5YOeHsl6+ADSiXfDS8/UQOKl1fDRWI5NJARiw3MLBUstUR8Lh+WBSEQVma0yPKwCyV4BFALtMO/+t6dH4h7ZtCZlMrLz0FBHAu5QwP84k1HP7lSc5gmai6VS8rYHkh989PV0fagaSFxXuf8feFAyqeoHLi0UZMEW6wc+DgblqmhUaOREBbcXAIVA+1nxuDzvQkqr2beAgj/E7Y38+XBYfppOK66xMzsYL7omGpXrYzHl2tLiXQ1oIPHu2nhyZIDIV4GAXF4oSMqGU/s7AEosJlfHYvKTUkkOHBpSxYCdEALtHwWDMrUDcYBm870yFhPIEN0MuGNpbpZOKxr7kzoIIujkyERCgNKTOzyOTryPfnqmBhI/rVaHx4pbav9kUh7r65P5WrREmk3htVBIAQonUDJ0DreRPdas2gi0/7hc7sizm42RvvGbpNOuBdypqF8vk5GjBwflqA6sQb0eCPL/oVBQTMxavKsBDSTeXRvPjYx8fuIaTm4wpLyenkjI9yoVBSiNgvdOKYZAO/1HyC7zitAhkHFhkTgdcMdduXI2K3sNDck5HrAAOFxsmE7LJz098u2kcq+skB4HGtBAot8DUxqANO/keNwRa6R+ALiXaGZ0dySiwOTXLjDgGoF2eoN/12Zry5SCR7mIzf3gwUFHA+5fBAKyXC4nm3YoxbfR9M+Nx4WA/7UecjW2u5bd+nkNJN26sjbPa6N0WjYolx21RuqHTHwAQFmrXFaAsoKDdQQE2g9PJOQ9D2YHQSk/98iIYwH3IRFZKZuVxSsVucfFivWxXlFcjdSu7OnCQWKssei/j64BDST6DRlTA9R+QNL3UD7veqMneoMAJmQRnTUwIDs5VCh4ciIhfw+FPEkMSHfAByMRpX8n5EeZjLrt0w7dv5Uxw5CwZC6nxkT/ei3e1oAGEm+vjydGR28OCARp/dq4dt35YbKZkppLFhHZRHbLL1IpRYU+xQOxgfq53RGNyiGJhHzogLX0s3RaKDqc3tsr89iQhWfXuvw5GlXFrtM9BG52za0b76OBpBtX1eY5XRqLyW3RqGMnYrPDZXP5TSIhexaLcrrNGz6FiLhQvNiR0MikeqO319a+H7jM/hqJyBP5vCzrsVP/AcmkSi//nc3rbPZd09dZ04AGEmv6GpdXT06lJDoy0hGKjHqFPxkOKzBZeGRErunvt6WWpSIic02YILf198tED2VsGXM3qNuJX6xrUxrswcmkXBuNKhZf2Hy9JqT9UjuiiRq9tjKNx6OBxB/r1NFRLpfNygEeOq2TpkpgfEY4LI/l87Jom1lWsBavkcnIK729snCb93JqodhYDx4asiXwTDzowlhMLisUZAeHYk7t6IF40L7JpPy9t1cg/NTifQ1oIPH+GnV8hHNMmKCC0F4qCiP8ekQyKVOjUbmtr08mtnGqhkxyr1RKPu0wy+5oC71dOi0/GB5WCQftCHGH4xIJOXVgQA5yINbUztiMz3JI6K2yJ9hxP30P5zWggcR5Hfv+CV4EEkOp58fjcmo83lYlNveARPJJDwd2j0kkBMvp9jbSc++JROSXqZSyLk9rE5CceqkpBV0tm5XjBwdlew9aS07N2+/31UDi9xV0YfxeBhKmTyLAfsmkOmG3wg0F7UsxEJCrPFz4NjUWk/NjMXm1RUJJUpt3TKdlvXLZ0/O8NxIR+Ny0W8uFL7aNj9BAYqMyu/VWXgcS9M4GNDmZVA2prLLVQtVOkB1+Ka8KSQZbpNMtUdzT3RB6G6jxb+rvl5yH4w6HJJOqQyWkoFr8owENJP5Zq46N1A9AgnL+VgWT7UslmWJhI/peLqfqR7b1sCvls2BQlspm5fF83nKF/y6plMBbBYgs6bE039qXuhAIyGqZjJyi3Vod+663+mANJK1qbhx9zi9AwpI8Fw4LxYU0y7rEBJi0s0G7/Qq0AnhHJxLyp1hMbvRomm+tDu+KROQw7dZy+7Wy5XkaSGxRY3ffxE9Awkp8EAyqpkzrDA+PGQ9ox2Xk9qpbdcFdHIvJiYmEomH/hYetLUOPFCESbNduLbffrPafp4GkfR12/R2+n8upDRnSRr8IRXy4SSB6vGGUIHq7QWw39WElKQA6flrUkv30Gw/Hfgz99bBe2aycMTCgs7XcfKlsepYGEpsU2c23oVjv0KEh2dEHp9r6dVglm1UFi9SaNBI70mrdWnuzacoQXBJc37pYlPM8muZbrzMy7+iGqLO13Hqb7H2OBhJ79dmVd4POe8NSSVVW+1E2zGQkOTLSkCLdrkI/N/RipnDyv9UMLXqq/NnD6cz1+vISDY8ba9ltz9BA0m0r6sB8+JJ/p1LxbBGbmSkDJnNXKipzqVbspB4xM452rjFD5bITFfrBoJqn3e2Q2xn7aJ99NxiUNbNZmdrfL5t5kOvMqXl30301kHTTajo0FzJ/vgwEVBtaPwsMv8sPD8vVVTBxggzRSf2MRS55RCIh0yIRBSJOt+W1c57wft0QjcoMDzML2DnfbryXBpJuXFWb5zQlHpfHw2G5uw16DpuH1PLtlsjlZFKppDKZnKJnb3lwJj7YjO7+glhMTkkklDtrE5+d6slGW7dUkhN9kBRgYonG5SUaSMblslub9PXRqPw+FpNnu+TEOP+ECbLr0JCsNTzsWMMoaxo2f3WjBly0Cd4rmVSBdb+1pX0sHJat02nV62ZVDxdLml+h8XmlBpLxue6WZk3FOFxW7zrQoc/SQGy6GGLyOSdMkDXKZSkHAh1v2GVlWvUtgZ+tdq/ca2hIpfr6Tegt804oJHd1gbXrN93bOV4NJHZqs0vv9U4wqHL8afWa8TBPkxX1zwoEhPqYpYaH5RkfWVpXxmLyx1hMpckSVN8ulZIVh4eVq85vMjMQUEH2IwYHBSDU4l8NaCDx79q5OnI2XYLUXuym16oi6FdOP/pTBgbk1z7ZyGiNu2cyKZ/29KiCw08DAbm9v18SPgR4OjTSG4UgO1mBWvyrAQ0k/l07V0e+bTota5XLcrgP3SfNFLV2JiPrl8tCs6dzBgZ8cSp+ORSSn2QyCvjoYX9rX5+vMrRq12L7VErm9kgLZ1e/TF34MA0kXbioTkzp9HhcZTnV12E48Sy37omVRYB63kpFKLq0i5PqrbeCMnVqTO68MyIrrTQsG25YlsmT7XHdQAm/ZDarVAQnlV+bP70SCsn6mYxcr2tH3HrdHX2OBhJH1ds9N7+/2nDorS4JuENZvmAuJ/f19cma5bLqZwLdOu67rdtIn3388bBMnpySL78MfGPxt9++KJdf3n4c45+hkKybycg2xaJc5cO4iKGU0+JxoWOjrh3pjj1CA0l3rKPjs/g8EJAlczl5qbdXFukCf/bbwaBQk/FKb68sXJ0PriIYaG/u75eftgAmg4MBWXfdjLz9drDhetxyS79MmgS/bWuCTbN9Oi10Ozx9YEB29yH3mTFz+NuoYte1I629C177lAYSr62Ih8ezfDYrJw0OynY+3sAM9T4RDsuW6bR8PmuWRGp0TkbUsYmE4uVat47t+K1gUD4MhaRHRGCr7Q0E1G/jvz/+Z1CeWTXcdAXnmjwiy146rDoU8pOt+238G4zF/K1eSJV9OhyWhIjiPjvWp/Eqo+7lkXxeVta1Ix7+xpsfmgYS87oa91funkrJ/JWKnOUTRtnRFuymaFROSiTkzQauurPjcTkrHpdTBwbkw2BQXg2FVHxoIBCQGJu/yLfAABAovy5y/crRpo9d++CyrHVWeTb4GCBU+7s/8LVLDKsPQOEHWhfGcGY8rliMr4/FFAnlxT51be2YSikwhFtLS3doQANJd6yjK7O4KBaTadGoPOijuotmioGSHR/9X/r61CZt/AAY/GBXDIvIrsWiLD08LMsMD6vf84ySZjs0FJBVV83Ixx83dm3ddlu/TJw4umuL2M3rwaC8HgrJG9UfMrUAm/TIiCqipAYGnrA/9ffLYj5zM84Ih2WjdNqXVC6ufMl8+hANJD5duE4Me3o4rLKbZs6a1YnH2/ZMrAwq9d8MheSrQGA2UCxTqcz+7+9VKvLjTEb6AgFV/GdWpk8Py+abp791+S67FOXii60H2z8JBmXbVEpWGR6WnxeLCmBwDdGDPTAyIkkR2bxYlC1KJZXK7HWh5wigfb+uZPf6UlkanwYSS+oa3xfjtZ9rwgS5o6/PF5tW7Wqx8T4SDisr5O1QSJ3usTBuGcO9skAuJ2sOD6s5m5U33wzJr3+dkNdeC8m8847IllsW5aSTWqMvwZ0I8zIurVh1APQ2PziZlA96elTMhDndF4koSwVAoV89haMpjxUpUolP7Q5ULnv4pADU7JqP9+s0kIz3N8Di/LdKp1UB3Mk+iJM8Ew4LpIAPRCJqM964VFI/E8tlVdTHpnvoGAHr/wSDskI2K3sPDcnvXJ4ztTtUf9/W36/iJIYY7qH/9PQoQDTkhSqoPBoOC1lpm1etFEDFC5XjEH9eFYvJ9HzecyBn8WugL6/TgAYS/UpY0sB58bhA0/GwR+MkgAcndACkGAio0zngsV6d24dUZqhRzLQPhkYFOhWABEBxQ2g9u3cyqWpFqBmplY+CQSGD7rl8XpZokvVEwR9km4AKwEOW10blsppvp+hUKEAkrdqv2WZurLtfn6GBxK8r16Fx40rZLJ2Wd3p6ZE4PuU5w7XDaJUX3F8Wi/LhcVoWGjYRw97wTJqj+KvUA00ytN0aj8qtkUrm4nOYbAwSoF8H9c0wDi8locHWnSRcjsSCA9bZIRGYGgwpM+KEdr1tydyQi+yaTyhr5gYvPdWt+4/05GkjG+xtgcf6cjReeMEEu6e+XbVoo2rP4uFEvZxskjffqWEywEwAQfkjFHU0IttNi9/neXkubGmnB1Jk8lc/Lgg5thoOBgAquzzcyMruTY6O5LJXNqmI+5mtF7ohGFUcXRY2AyU7Fokoxdlp2S6VkjpERudCnKctO68fv99dA4vcV7MD4IdujGhyeqk7I/wIBBSDXxmKKJ8sAkG+SkjQfGT08Nkmn5eOeHlWPYUUmJ5PyVigkTzjk2jssmZTnyMzq71c1O81kYiajOiG2SqL5UCSiAOXOSER2qFooTllaL4VCskEmI9P6+mQdH2SWWXkf9LVfa0ADiX4TLGuA1rtsQE86tJk2GxAuGgCEjo2rlcsKQAgoWxVO5VSJv9cCbxh1HoAQQHqdzQV1WDsUScLoi2tuNNk1lZJ5KhWZ0iaYEz8BUPhZr1SSnUol2dailTOW/o9PJOTfweCYGXJj3Uf/3bsa0EDi3bXx7Mjo30721gu9va4UxMF4e14splxYBJ6NGEirCiJ7iJgHLqpWhELBicQwikXFeWWHGC1nzdLZU4+Bi84uNuZ/hUKzAQWQPGRwUGW1tStky5Hye1qXUOu0q49u/bwGkm5dWQfnxakcKnOoUna2+fRaP+wbolHBAlqO/uqDg7ZwM8GlxQmZtNpWhZRiqD7Qwb5tZnLRKXCbdFp1OrzAZAzhglhMsKzsdrFRAEl/lj/EYgoocZ0t0EY86PJYTFmQdo+z1XXTn3NGAxpInNFr19+VFq8LOhg8pfoZGpPnQyH5DQVsNgLWHqmUIkVsN/B7RSwmWAY39verFONW5ZBkUl4MhYQsrLlMxmxujUYVuaRTtP4PRyJyTiym2vkCJru0qP9J6bRsWSrJgW2Cbau61Z9zRwMaSNzRc9c9hQymW8j+sUAfYlYJAAiuLPqCsIlBV2KnbJxOqxTeo2xgzz0hkVDxIirk4eOyKlOjUSHAfmt/v6r1MCsGXc3/Zs1SvGBOCFo/Nx5XP9CwHDE0pHrcmxVSsqnAJ+WXpAgt3asBDSTdu7aOzoz00Q0zGcsb4GiDIpNoSiwmuHrYtOoL8eya0JqZjLJw2nVJGeMh8I2773YLNCp8Fitk63RaDhgakiMtgprR4AqLhHa1Tsrz4bCyTv4eDivr8FcmrQsy3L4zMiKn2RRHcnKO+t7taUADSXv6G9ef/mk6rWIWZ7e5URjBdPzpbFJsVk4WO1KDccrgoCJBtEPeCwZVjIPgNNXyZoTzOSBClXkrAfOPg0FZLpuVGb29srhLp/1LYzFlnaxcLiugX32UzDK4zdbJZOTxfN6VOhUzOtfXOKcBDSTO6bbr78ymQvZTO+4tqEDoszF3paI2JyvunVYVPH8uJ9cUCoo+xS6ZFokIRXdm+6ifmEioVOa7+vpaconRt+S7uZw82NenUqHdElKwsU7ujkaV27GZe/CUeFxllfm5HbBbOu2G52gg6YZV7NAcoPKAP8mqf98Y7gXxuLDhHD04qKwQp3z9teqhcvw7uZyiMae3h51yRjwu11Hk198/aiyBbCvcPjSmajWIzbihefmzxdiKXfOl7uSYREIVRV5al2n2WTAo66fTcuHAQEsti+0ao76PexrQQOKerrvySRTnQbFh1b1FQSB1Ib8vFBxPIa5VPFlIS2ez8mw+L0taCBybXbxfpFKCnQO4NhJYeXFpTSqXZYrJVN9mz14il5MzBgY61voYhgDWMTMyIpcVCrOTIn4Xj8uMUKit9Gqz+tbXeUMDGki8sQ6+HQUZVtQJWHFv/TyVEjaha/v7x6zgtlsxFBP+KJORN3t7HckkAiiIl1AdTn/7emoq0asAACAASURBVCEwDzU9Lq0JbQbJV89mZZ+hIdnLZPDbbl1yP5iIAROs00sKBUV3D0U/hZqk/WoZHxrQQDI+1tmxWRrZQ2bcW71VehEGA4h0ok0sNPObptPy6axZsxtF2a0cGk9Rq1JPAU9MiR4jZHdtYINbjWQHLJsjLGZ82T1f7mdYmNTT0FUSXi0t40cDGkjGz1o7NlPa71JDMZp7ixaxuMGgdgdEjG5/jg2qyY2pbSA+8UkLPFtWxvrbeFxujkbljv5+1TOE1GbILo8bHGyZaLH++TukUipjyy6aFivza3QtMaJz4nHVOIyOjlrGjwY0kIyftXZsphfFYnINdQZNihNpsIQ7a8+hoY4xBhuTJ8uMTf51Bwop6xXMnGEkvqhQUHERCisJjtsl+ySTEhGRP7QZa7FrPCRPXBeJyLuhkEwqlTRJo12K9cF9NJD4YJG8PkQj7tDIvUVAHbcH8QK4sjotMOySWfV0i4SNVsb/bwoOq304vggE5O7+flsD/NCzUE9yg43gZGV+tdfSL57YCK2Ll6hUlPWJ6xJiTy3drwENJN2/xq7MEDZgsqBq3VuQLXL6v6JQ6FhmUf3kcb/QOvfequuFdGAYavnpCQRUe17KFNWP8d+N/m2Mv5cCASG5+J1gUCBC/H6louo9oiLqJzIyotx7/Ob/a/87Wv23RtfBxcXPnJWKkB1VOxdXFrrJQy6MxeT2aFQVIGKFGe2AuXzmrFmdHJp+tgsa0EDigpLHwyNgi8X6MNxbnPp/nUyq7KSxemvYpR82/6+CQQUKX1XBwfh/AyzIFssHAoq0kX+D2sSQ4Bgbe7PNfvbGXwMA/BupxsRJ6AyILbZhuSzxkRHVzRGg+QZY1QCT8bdG19XqintVAgFZoVxWTAAGyBhAMxt0qsDD/5tt/mVlTdAn1giUM/U97eeYMEHmHRmRNx2OSVkZr77Wfg1oILFfp+PyjnQNXL1anAitHxTrdlsi7weDAh3J+6GQ+s3Pf6vAASiwodWCAhvnHJXKNzZYug8mRdSGV/93wMUuGQoElFuL37D67plMKqujXTeUAsnqnMkOozr+4KGh2VZV7d9xp5FBVSsG4GDRLFSpKEup9me+FuhW6O9yLVTxfX0KKGuFTL3v5XKy7PCwIm/U0p0a0EDSnevakVltm06rjeSvkYgi6oOM0IoMBAJfA0UVJOpBgy2K6nc2vkWGh2XRSkW+UwcUbJAKIJqAgluZTlR9w00FiKxfLgtxJIDll8WiHGNTrMhMBhorUG+VGf9vgDHA/HkVcOD+MoBlkSrIoGvj3+otGiw62A12HRqSg5qsN3UzK2SzinH5Dp3NZeUr4ZtrNZD4Zqm8P1CCv/To4IR8chPyQuIG/wiF5J0aq8LY0KDWQOijbmxcgIUBGvwb3fvaETdqL3Bn7ZdMyomDgyr4bAg9RMi0Iv25lRbB9fO2syYG7i5jHeoB/IPquvD8enCBe+uRcFglL4xWYGmQOG5fLCo+Mi3dpQENJN21nh2bzXPhsNDnA6E3B+mf0MEDGjSp4jc/nMwRLAYFFjWnXUCDf2vFvWJ24k5Xg0NUSF0NFd7XN8imgqzxL5GIih21C4pOV+kbOgW6a8HFsBjfDQYFIMFSjI2MqDkbP9Dm8N8kDBjydDgsm6XTKpZCZ0kt3aMBDSTds5Ydmwm9STbKZGS9clk+DgSE062RucOgAAg2FTYX46dTjY6c5qc6IJkU6mbu6euTpZtweW2RTqv2tfVkh1YX0GnesLHGc1kspvrHXFcoyCeBgDowqENDODzbVUYmXy3A/C8YlH2TSdUx8bcaTMZSsW/+roHEN0vlnYEa1gW/yYKCZ8kIsRLAJQAOmy/AAnCkbQxit6sFJxlzYcQFSKYMDMgeo8SHcEkBJucWCipm0qo4yWQ81pgYNZlasP8e3yDmg5vSABbDIsWqMaxRrFX6mdB/BqDhsKHFvxrQQOLftXNt5C+EQvJEJCJPhMPyePhrsneC6tBz4MpZfHhYzhkYUKBBxtZa2azsPjTkuT7dTvbwMFxaUMDAhDuWQHZ5aTQq06oUKmNd3+zvTvRWMTOWK2MxOS0eV3UjZlshk1VngMu9kYiqgTGE+ArB+PVLJXUAIRajxT8a0EDin7VybaT/CoUUYAAcnJ45PeKK4gtOTQh9PBYaGZGtUilZYGRErq6LBZwaj8uT4bBquuQlcbKrIJYIG+PdfX2mN1a4t4gqTW2jMt3ubo9m1ovDAplaZKO1454yyC1pkEXMjPeN94ZMMKriARXjfaMWRYt3NaCBxLtr49rISM8EOAANXFUEUTkh4noAPNgwqAOolaMTCZkeDqt0zvov+cuhkHJ7QNwHgZ9XxKk+54ZLC0tkBwuuqpdCIRWYP2FwsOX+8Xb3nzezVlNjMTkmHld1IxBStiPwc0FbAwAvVb0XFvCTkYgCFcCFJxjv4prDw+og4yV3aTvz75bPaiDplpW0MA+K1gAMAzgIllM/sEb1Swp4/GgUAID48FfJ5Kh06NRrzD8yoggLvSIAHxv3/2bNsq0bo+HSmlgqqdiIVbkkFlNUJwTncQ1aFTLlcAk1a3lr9X5jXY9dwCHhh+WycmfaIb9MpRSdTKNiTWqLnq3G4gAW3lncqspSqb6vAMvXuYBaOqUBDSSd0rzLzyXDhwK2+8Jh5YKh4povICc9vpB8MQGTsYSUU1xaZN00K0DjHjdEo3JsIqE6EVI06AV5MBKRXZNJ+dRGug5cWlhgnKjnNqG/Rnqg2RUb6Y0tuLi2S6Vk2UpFTrFpUx9rnaZGo3JYMqliI60AX6P7YwHD1bZnsTgmsefnweBsYOEwhFXH+8Xhh8A/P7Upx2PNR//dHg1oILFHj568C2Dx13D4awCJRFTF90alkrI2AI/5W9jgoUbHnz1W6iqBVdwuAM7+FivcnVImPvnfJJPyjk1AYri0qBfZrI1ugIAzWVwHDg6qYk4rwml+nkpFznUBSMjUmpjJqJ4ydlkjxlzpY0+xJvU161hwh9KREkDBNftAJKI4xwxAAVy0uKMBDSTu6NnVpzxWAx6kiAIexg/9K1oVmHOhP2kUF2l0T2hCODHe75GgOxv/mfG4/MMGanPDpUU72VNt2MQhvDw2HldZXLiNzAoV9Lh13OhJAuULmVqP2BAbaTS/ExIJeR7rjsZnLVh3WCv3VwEFUFlueHg2qNhlPZldl/F2nQaSLllxajkMy4NT2sbl8mzwyLXwpaxXC+mau6RSltrEclKkL4XBN9VpVV8Vi8ll0ajMsIE8EJfWv4NBtfHXExW2Os+9k0n5IhhU+jIrhyUSMjMYbCvzy8yzIH/cIJNRltdJNgBno2fS4Z0GYCsPD7eVDca9qVkBTPjhYEXCiGGpUOukxV4NaCCxV5+u3g0OJAM8yG4xrA5AxM64BGmzfMFHI+ZrNnFcNqRynu+BoPuUkZjc+klUnlmwPRZaw6VlN0ASK0BfuxWLcqRJYkdO8W8Gg453I6TfCNlVD/f1yYIObsTPh8OyZSolfywUBGvPDoHnC0DBWqGOZdMaUNHZX3ZoWEQDiT16dO0uxD3w9RsAQsDcAJAfOPQF56SM+2SsuEgjJVC4hkuMoHunaFEY1wEHJOW2aVEp5kVWW60s++9flG22sV5Vbri0flEsOpIpZYAUWVzrmnBx4aqDw2qaBSvG6ssKHT2xEQAOxgKn5fJYTJF/ksAAlYydAlAZ7i+yF7FSAJYNbQItO8fqp3tpIPHJar0VDMpt0ajqQkffDL4AAIjTvl9qBq6KRk3HRerVCT05le6kp+5jMZBs19JMmpSRF174doLoeecNyJ57Wgtu49Ki46EV95PVeRyUTAruScBkrJjWBbGYTItG5WEb3HXNxkl68i3VZ9jhJjWjj/2TSZV9daGDliwuLywVSDSxsrYvlWTbYnFUFmMzYx+P12gg8fiqQ9FtAAiMutBw22XyjzV1KEU2TKdV1hWn0Vbl0Go8wWhv2+p9WvncX/4SkV13TTX96Lvv9sgcc4yd9swNsBboP09chLa5TglAhYtri2JRUdGPJpzcr45G5RmHgISx/CSdlkOHhmQ/Fw8CuKCIyQCmo9U02bEGtFiG4v+WSERw425XKqnW0HCAaTGnAQ0k5vTk6lVs4LdGIsr6gBgR8NihVLKUzWPHgKk6vtcGqhPAkKZXZt01dozduMeFF8bk5JMTTW/54IN5WW21sTcMw6W11xj1M3aNnXTYycnkbEr+ZvelXgeL4RUbMtEaPeO38bg8HInIQ/m8bUWcZnV0RCKhkg/aoZAx+yzjOpJKAJW7IxHZugoom2q315hq1EAyporcu4B6gtsiEWWB0NwJ8ABEvmuzn9jMjGDwnVil79ipDWvEeNakdFpWHB52pd6hdn433xyV/fajuW5jeemlXllkkbH98Li0OLk26jFiRp+tXHN4IiEvhsMKgJsFhe+IROSoZFLesqk2pnacBP+JjcCntYsN74BVHfB9wBr6U6EgG7u8mZO2DqDwA4EkLi+slFaLTq3O3W/XayDxwIrRv8IAkA3KZQUe/HxNut0ZOSUeF5pV/dWmIO7FsZhcFI/LUy4H3V99NSQbb5yWgYH6JrEia6xRlvvvHzvVFpfWSYnEqD1GnFilrwIB5eKisO6MJim3+PjpB/+xA0ByfLUOqBMuSUOfsCPQPOt2m95Dq+sEHT4uLwDls0BAub3gU+NQpOX/NaCBpINvAxkkUInjxuDEB3h4oRqXLy7WyAUDA+oUZofga1+vWul+iAuZP7VjPvvsuJx1Vvwb01h44Yq88krvmFMzXFqHDA2N2mNkzBu1eIFRv3Nrf3/DzCL4pwCbmbNmtfiExh+DARpr4JJCQbl4OiUkmRAroXL/5za9i63OBVczoPJoJKJINvnphLeg1fE7+TkNJE5qt8m93wkGhe5yBEop8KK5j9MBRSvTpMiNnuqkX9opnOpJW34in7etiM/s+G67LSpHPZ6QuT6vyMZLluXUU80RDuLSIqxupseI2bFYvY71wM2DdVhvV0G4uWEmoywS3KF2CfEJQPTmFvi/7BqDcR/eG/jhiNN4QbBOqKmhK+R+xaICFDM8dV4Yu1Nj0EDilGYb3HdWIKAAhB+K9MiG2qbDp6z6Yc6gsDGdVgHOrWw+iWLpYJXgppnsYgaQMce1MhmZXCwKAXMzcnM0KqdDW2Khx4iZ+1q95qNgUDZNp2X3YlEOq7PmjL7txEjs8t9DQklsBBDxQn0FPeKxSo4ZHJS9Ta6dVR1bvZ7DBWDCD9xzgEk7mY1Wn++16zWQuLQiFOYBIJyDsUAAkW977V0azCiP2SuZFADvNodOoqQCk9rpZN1Ds+mtmM2qivGdTYA3vE2bVYkU22mHa9eK/ikaleMSCWWV1PrnYTdYKZtVWVsL25SU8etkUsgcvMqhd6AVnZA9Rr0MVgl1VF4R0oVpBQCgQDYJoLRD4OmVeVkdx1133SWzZs2S3Xff3epHXb0+MHPmTO+8PRamTlYNAEL2DeDBj530JRaGMualD0UiQtc++kI4lfJIXOin6bRcXiiomJCbsnguJ78z6fMnY4rU0z95aDOF64zmtLVj+l8gIEvkcoo5YEkbAsCGRQpgreVgrYzVdWfDxirBIqGjoteEZlyACfFOLHkABZZkLd7SgO+A5K1QSGg5S9UsGyYAAhmdlwUqFFJcb3F485ycSgkZSU5WhzfS84K5nEwtFOSnY7jsCHDDqstm6qWitBfhiUqnFYX7rlUQpi0t88LCW8WG92vfZFJIS3CyorzV78DZ8bjcBOlmb++YFf+tPqPdz/HuACjEdA4YGpITBwZ0f5R2lWrj530FJNBJkD5Lu9pjBwd9YerCp7RaNisnDwwoX7yT8nA4LNul03JTf7+ieXFL5pgwQcU7Rut3wcaMS2tLmix5xB9fqx+KD+lQCchh2WKmz2liXmZ0DPEn6wIoeQlAjbHjEv1xJqMsMrfYHczordE1uLvgmMMNCTsBnHhaOq8BXwAJbUEBEFxZewwNKRCxKwDq9BJQK0HOPhTrbpAr4kKj3vxah60fQ2/GyR0f+6qjnNxZP9yQdmes2bV+bEdYJWxQRnOpBXI5uaZQECh02pHdUylFktisZqWde9v1WRgS5q5UOppFZ3YuWJBnkHEWCslJg4OuUsyYHeN4u87zQIIpyyZEkBYAoWjJT7IHG/vIiKobcEPupJAulRKK3dxIfcbiIkYCJ9VSTYCEE/mW6bQCES/U8zRbB4oQd0ylZlt0zOucQqGtLDviY7g2sUYWtSlo78R7RE+Zk+NxeT6fb6nDpxNjGuue58TjyjrBxQ2gOEnDP9ZYxvvfPQ0kVG2fmkioVF5A5Hse/iI2epGgQ1ktk1GnvJ+1eaq18qKSZrx4pSK/dwG8qIkga2u07KbN02lZbXjYscZNVnQz1rUkA8DDhotrlSq7MtT2rcpOqZTqKHicBwPZtXOisHX1TEZOHRyUPT3oemymfwpHSSX/MhhUcZPNXfyetfpOdOPnPAkk5LcDILwkAAjuLD/KNdGoXAwlSm+v6jvillwbjcohyaQqUGQTc1KoYaGHfLN6iynxuOrzwsbsh2ZHgD8uLsDjdqyJYrHl2hwK7Ohr8kA+L/N4KLW22ftAb/evaKtgc8Gsk+8f9wbmz0wkBOp/2B2wTrS4qwHPAQmnQWouOFFzilva4Y3QSXWTVoo7w47e41bGib+fAkXaoDrtl8dfTZFdowpw/kaAHYtsCx+dFAHiIxMJRSoIoPy6hYMMa/DTTEYg5vRKsd9Y7xCAjyv2SRcOIGONpZW/3x+JKDf4EpWKXE5/+lZuoj/TkgY8BSTkjO+TSila905SZ7SkyboP4fIhWwuG2U7kvf8+FhN8yFglTroEp4fDguuqESfVL1IpmXdkRC5wwcVmx5rV3uOXqZRKNQUEaB5mVXDL/pWOmz463WP3r5HNKvA025LYql6cvp7yAGJS81UqclWh4Asr2GmduHF/zwDJM+Gw6hOxYbksF/lw46lfLIKXENE90KGNhHoSrBKqzaHAcEoIpG+TTssXdeSGtHUFzAj6L+Sz2Ba6eqXaAAoqE6u8WFCvQO//Ox/67MkwpMXwYx7h32rlvYWVAK9GWkSu7O+XuXzgVmxlnl76jCeAhNace6VSslWx6HpfDacWY4dUStYul+XgFtwido2JjBZqI7BK4C1yQh4Nh+Xn6bR8XgMknApxaR03MCBeoEFpdd6rZrNCVtrT+byljCAoV4i1XO1SCnar82v0OcPCpKgV16hfBZp6DqZ0xMEy8SrrhV/1Wz/ujgMJPUNYcCqKnfbnu7VopCovmc2qSmFiPZ0STmZYJbgpqAZ2QiiC3DmVkk9r+nYQtC0GAp6iQWll7tRW/CsYVMWdU5r0Lam/7wtVqhosUVy0fhRYj6FxofGWn2VmIKAOqLBKwG/mpIvXz3qyY+wdBZJpgEgqpTa5k3z+0tYuBi1UT4jH1Um203JMIiGPh8PKKoFPym55MBKRXyaT8kkVSLCACFR7jQallXljVVLceU8kIn/u75dNTCQM8D7jn/fzoQiqe6zKuzrklm1lrZp9hoJZDqq4G68uFGRxnyXvjIyMSLFYlJ6eHikUCrLIIot8a6qVSkXy+bz6CYfDMjQ0JHPNNZek0zj33JGOAQmU2hSp7Tc05KgP3x01fvMp58fj8lowKFd6INZDFhxWyZRCQfZoox6imR4p4sMf/Z+eHuXOwaW129CQJ2lQrL4LFCdiUZJeSlX+vfn8qPxO8L9Rh/KgT+NChn6ui0blZHrnONAd0uoa2HE9diGWCUScFMU6caCyY5z19wBE+vv75V//+pfce++98uyzz8p99933rUcBMrfffru89tprstBCC6nf6623nuywww4Si7mTu9YxIIHKA9pq/JfdJlSWU79R3+OiU/Nkc4N99hEHrBIyk/ZPJuWDnh5xqnFXp/SGyw53CHEuaktgVRgtg4trcIN1Mi5mh64M7q1H83lZyWcn+Gbz/zQYlC1TKcW+bbXOhBM/G/rMmTPVKX/OOeccU818BguCTb63t1d9LpVKmfqscfNSqSTvvvuuvPDCC/LXv/5V/v3vf8vzzz//jWdzzd///nc57bTT5KSTTpIVV1xRnn76aTnyyCPl0ksvlVVWWWXMsdpxQUeA5NxqEJiAnl29HuxQhl33+GE2q2pHzLhC7HrmaPehaHCDdFpOtrGB0YsvhuStt0Ly+FdhmbZcRC7ZoCC7pVKep0Gxou9dUykVZD9rYEA4pRNEx9poRCtPX5wbolH5Wz7vWQZdK3P/fi6n3M1OE41aGVO713Lo4XBgltQUMOjr65NPP/1UHn30UWUNbLbZZrL33nuPOpTh4WH56KOP5KmnnpIXX3xR/Sy66KLy/e9/X/bff39LYMKDvvrqK6HB1SOPPPItIPn888/l+OOPlwHe0euuU+P67LPP5Nhjj1VusOOOO06CwWC7qhvz864DicG75Aem0TG11+ACskWWymbl5d5eTwX3aKv6N6ySvr6225c26tWe3nBEfv7Hkpw7d/dYmJAtzlOpzCZxhMEX8sX69PQvAwFVfIi14jcuuGbvOIkGiwwPy3ldFLtkrtCpULhIfddomYyAAZs0YHDbbbfJAw88oADg6KOPHhVI+Nzbb78tF198sQITGlJtuOGGcv3118sll1wiO+64oxxwwAGSy+VMby/NgATXF8/aZZddZN9995U999xT3fPLL7+UM844QwEYjbGsPMv0oOoudBVIyBvaIp2WtYaHFa16NwoxAzrhvekx//J/gkFVgX5wmxlcr70WknXWyTRcuokbleW2m+ztR9/JdwQX5RyVyuzN1KDph0JkYk1GFl0GXw+F5EYfpvs20y9z4tCHBdZtwoEAkDx3lD0IV9ZDDz0kAMOHH34op556qswxxxyjAgkbO+Dx29/+VgHQueeeK5tssolSH2BwzjnnyN133y2HH364AhizlkIzICGojpVyyCGHyJlnninbbLONehautCuuuEKmTp2qrJSVV17Z8SV0FUg4FRNkx6XlvLHluO4aPoAmQcQjbvfgF5Cxwf9ErKTVtqrXXhuVgw9ONlXu3//eK4su2rmUZztXnSQCIPP8mjgehwQIDg0+qtdCIVV8iLvEy8zGVvVCRiUV4rVp3Vbv4dXriQFtnU4rl6WZbqLEKdZee21JJpOjAgkxkVtuuUWOOeYYWXPNNeXOO++crQLcZO+884786le/UgFwNvrvfOc7plTUDEjI0rr66qtVLARr5yc/+Ym6H+O49dZblVWCS2yrrbYy9Zx2LnINSIx6EVIKR+tb0c5kvPBZ2F7J9HGbX8vM3HHBYJXs3kZW1e9/H5MTTiAptrE8+mheVlrJWaJIM3O145pGXQ2JNwEcp1e7KR6YTKqYSC3Y2PHsTt/D6FnfTQH3Wp1CqEp25YMmCDWxSH72s5+pgHsz1xbWyH/+8x+ZPHmyyrLC3YSVUCu4nE4//XQFMAcffLD6AWD491ohhbc2oN8MSOjlfuGFFyrwAlDWWGMNdRviOlgi559/vgKT7bbbzvHXyTUgoUjtOyMjckqXurSMlVomm1VZIT93INXWjrcBDigCw/THaKU52AMPRGTHHVNNh/Leez0yYYIzVfR2zN/KPchGg7W5no4fyw6Cw+OGhuTAagDeb/UJZvSwZC4nx3RZwL123nDEbVYqjdkY6+OPP5add95ZAUUzICF7CnfW1ltvrWo4CHLvscce31AzG/wNN9yg/oa76Z577lHgBBhgRRgyzzzzqOcY0gxIDMC44IILlNtsiy22UB8BYC666CJlldx4442y3HLLSW09CmNdcMEFlduOrLLBwUH1d7LK+IlEIur/+XfGx+9oNKossma1Ka4ACae4H2UyCv3t6H9t5kvQiWuMQPv0fF6W9WjaJN0mJ6bTsnWpJEe0yMG1zTZpefTRb2fjH330oBx1lHO8Xm6vKdYGTrr6pmR5guvptKreHysl2O0x2/m8n9PZcWSk66wtQ0fw4dGrnn1pNPnkk0/kl7/8pUrFbQYkxCUuv/xyZXHMO++8Kj6y+eabf+O2bMiAB4HxhRdeWMVL2JzJunr99ddnX0stCAAwFpAQI/nb3/6mYi6HHXaYui/yxRdfqJjOyy+/rDLNeC5gRPowMRVcYn/4wx9UoJ4xvPXWW8qK+eEPfygbbLCBrLTSSvK///1PpRG/+uqramwAD6nE22+/fcPaFFeA5LR4XPBL3tJFwchGLx6cYfheGzHh2vkFb/deV8MMHIvJo319LXXD++ijoGx0ZFo+ue//I11Tp/bLVlu115K23XnZ/XniISSINGKiPiCZVJsQ6b7d6qrF8uKd9hODsZV3AB61tbJZubBQUPUlzcQMkLB5U8fx5z//WRZYYIFvuJqM+9YCSbNrGo3BsEgefvhhmTFjxjeC9AT3ydZadtlllSsL+e9//yuHHnqo2vxPOeUU5Up77LHHVFEjMnHiRPnNb34jV155pUoVxjL55z//qawPkgNOPvlkZc2QbDD33HOra9544w1ljQCW66677reG6TiQcALGGuH0206nOSsvSKeuvTsSUQ2l3vNYxlYjfUzKZOQnpZJqHGZVoAyBZv2yVwvyxsyg3L1sVF4M91q9jeevPzSZFHKWrqgrmoV2gzgJ1soPh4e7gq260WJcFovJn6JR1Ua5W4Vi3ZnBoOLiagdISBUmewoLAGuDzZvakVqpBRKsllp31Gj6NYAE68NIQyaOgmAJER958skn1W82e6yIo446Ss466ywFMMR4EomEsibee+899W+41khFXm211ZR76/e//72yonCrkZ4McAA2iy++uEqDxuoBWHDdYc3Ui+NAQiEXBYi8jEmHGGi98pITwLsgHpeXer2/qXKaPiGRULESK0WhnNA3zWRUjxUCzlNjMfljNCozunCzoVK/p8Emc148rrp3HjQ4KKSS1qcDe+V9bHccN0OVQmBU1gAAIABJREFUEo/LGz54n1udq8F2PFozLzMWCVbAPvvsI9OnT1eFh1gA2Wy2KZAQRznhhBOUy2w0IRhPjIZUXsCCivVllllGWRuGADSACJv+8ssvr6rgqR3ZddddZ1+DVUFwn8LKddZZRwXjcashWCQvvfSSKrYEiOrdd0Y6MYF77g+gETOpFceBZKt0WlYcHu76IDtKvTAWk7uiUSHTxQ9CTQ9uGSuEmTTLAoTuy+dV0yoC91e5cGqFGqL/+eclvMIKykfLye/9999XAUan0hshL/wiGJSpNafVd4JBVXz4x0JBfloqqZqh2nRgP6y72TFSE7VHDSGn2c/57TqC7quN8j0wAyRs1AcddJA8+OCDsthii6nAez3PVa1FwskfWhP4sEYTKtbh2MICMQLd3BcwqRXiJf/4xz9UHIRYB6BSK7jeAK477rhD1l9/fbn55pu/8XesFqwNAvX1QGKkE2NxEb/hHj/4wQ/cAxIj+Hx/X5+s4VNKbStfilOxRsJhVSfjB8FFdVAyqepKFjNBdw8B5MbptJw5MCC7VbPSaGCFJfaUQ+DJSY8T12o77yz3L7SQlL76SqZ9//uS/t73JJPJKDAhzZJiMbvlqGpfkWtrgARXSF8gIJdW3V316cB2j6GT93suHFbr/emsWV3dtpZe73ePcgA0AyRGai+WA9QknNoBi1qpBZL55ptPuZOoendDDPfYNddcowLqxHJqZbQ51sd2rr32Wll11VXdAxIK8zZKp1WVN6fXbhdcIfhba0+wXp8zDLc/qFTkNBNp2dBxE/OCUt2QP8Zis5tn2T1XzHjM+tLQkKz88cfSv9JKsrqI3P3JJ5JbbDHhy8gXeOFwWDb8/HNZ6MILVfqiXUK3QFomX1+dL5Xt8G9xMFqhJivPSAf+W1+fZLroPQck18xk5M3eXpnXxEHDLr27fR9SuQ+uEo82erYZIMH9Q/CaqvZmp3asC2InxCBwTZEKDMmiG1ILJJMmTZrNy2U829NAcls0KidCH9HFPtbal4BeFFSM+6k4jd4puyaTKoOrERmhMT/WklogNtHVa6zLP8Riwt/sdueRpghPEDL//PPLf595RuYVkSO/9z05/9135cNFFpEJEybI9+++WyYuuqi8HAjIMu+/L0u9+qpt38vjoVIPBmdTn+ACWbdc/lY/cyMdeKtSqaX+7rYN2OYbGR4F4l/dWCdjqMtgO27Gj2cGSHAt3X///bLffvupYkIsk9VX59jz/0LaLf9OJhUBb9xgbtG81wLJxhtvLH/605/8Y5EQlCR9cJpPXD3tfg8JvC5vMebQ7jPt+DwAOFelonqMNxJcObg4JjWg4L6o6hYgaG+n4Bog3ZEg4Kabbiqvv/SSrPn883LQKqtI//XXy5tvvql8x/uffbb8ZZNN5I1sVjb95z/lhdVWk+2POsqWoUDpQ4dEerbTf/6OamyoUYeHsdiBbRmQyzcZCgRk/lxOsLT82u3RjMqwshfI5ZRLulF7YTNAwnNww+61117q3YR91yBRNMaA9UxcBBJIAuEEr90SA0hwS/F9uuqqq/wDJL+q0keQpz0ehBalPysWfdfU6ZlwWJFpEisBCOuFOqB7IxFljeTqXDf4l/mbE+R+ZMEQYMQlQL48PmdOdfAHkcYYCARks/vuk0fefltm5nKyxfvvy8xp01TsxA45JZGQfwSDcubgoGySTst5hYJsOUq9QTN2YDvG0ql7fCeXk+sKBdnQRHfITo3RjueunM3KrwcHGzZ/w73Kxv/BBx+MyrVlWBxTpkxRmzUV61SJI2RfUdCIW4vA/HnnnafqOdwSgIR0YLK1yM7CDVcrnnZtUf0LBYHfG/2YXezVslk5cHDQlz0cCLrzytNJsVZeCIVkk0xG0YQ0on2ZEo/LA+Gw0KPcCaHbGyc8o6EP+fB9Dz0k+8bj0jM0JNHvfEcK8bhEPvhAnpo0SQ489ljbhgEDLskT81cqQoSPTK3RpBk7sG0D6sCNls5m5bekOXuU8sculWxT9SY0onCCGgVmXTbjI444QrmvGglptFSJU2VO9hOn/qWXXlpdSuU4VPLEULbddltFYeKmkLVFoSHWkO9iJIvlcnJBoSCbd/lpxnghFs/l5JxCQfCV+01eCYVko0xG1USsUxMDIbhM6VOzBAJqhB4Jh1WPdjsF19YW110nxddflwcXWUQeXnJJlaFFcPKD++6TFZZfXqRYlJVnzJApSyyhMmUorCL1EeI8O4TeFTRDIr0Xa2y0GJLxvG5LB14rk5HJxaLsNUQFUffKkdUMveuqiRVYEFjC8FJBJcLmD/8UlglAQWyjEe8UsRJqSXBbESP59a9/rRJAIHKk8p3+6/zNIFh0WqNGd0fAEBB87rnnVC0IRI/UkXAww5LC2qLpFtYXjbv4b2pFoLqn4p2UX9KCjWwzxl9r+TtaRzLegGSeCRPk1iZ+VqdfGDvuf0o8LmTqGFlZdPz7TSKhKDJWbsIdRsYSxXl/sRlIwlOmyKsvvSR/LhRk7k8+kZcWXljm/u531alw21dflU+XXlrWWWAB+edDD8kbW2+t+ISgc4BCopanqB29nJZIyGXoYHDQtLuy29KBceltWC4rHXSz1AMJ7xObLlXd1GZwkkdI8Nhtt93UwcWgba/XC58lWYSsLKrbCaxDT8L7STW5WyDCuADDJ554QvVxNzooUqy40047yVJLLaUq24lFUoNSO0f6pXz3u99V9SvM56abblLcXYAP86YWpTZ12VEgGW+ure/mcqoHPX27/ShwD1Fsd/TgoEwslVRcAHLHY0bZRH4Xj8vj4bDcazOQJPbfX54LBGTGvPPKbp99Jm9Go1LZc0/18t914omy+NNPSyqZlAvmm0/CuZzE4/HZ7KScvOyQzdJp+WcopPrRWxHAlbgRCQhfe8j9Kz/JZGTbYlEO7HKLpN61hWVRS6RYv4KNigLrr+Ee9FOn5zrV5G71T68dx2jzYA4UTzabJ646rJH6Cn3uXz9/R4FkvAXbl8tm5QQPU8ib2c5gRCUDCfcWlgYuncQotRFk5j1Yvc7M/c1egym92mmnyUuZjOz41Vdy65lnKuZUzG7cVy+feKJ899FH5X+RiDxZKMiTiy+ugvEEOu2QF0MhBarLDA/LExYz0j4PBGSDTEYOGBqS/X2+Aa+Szcqhg4Oya5fHSEYLttvxPnX7PRwFkvGW/rt2JiO/LBZlH59vHutlMkIVO0R224xhXdEc6L5wWKWI2i34bun8homNm4H8fFIs4Qxa6Ywz5JY55pB3ikXZ/O235T/HHmtrFsxuqZS8HwyqQlqjG6KV+ZGE8OdoVFkl9ZluVu7T6WsXrcY5t/CplW1Gf2Ol/5q5x3i/xlEgGW8FiZum0yoP/Uif+5M5TdOD/JneXvn+GBXN8ItNi0blIYunditfPDiMYEsluIm/luDnDfm83JJOS27eeWWDF16Q5846S/l77ZDro1EhY2uTclk+DgTk1hbaH8ysWiW7FIu+ji/MOWGC0NW0m9oI178jYxUk2vFOdfs9HAWS8UaRQptdNt4zTNCNePXFmhqNCoV4PyqX5buVipw7xlzouHhntQ+8U3OCF4jiQxhTabhD3+tHp02TiTfeqHqqf7b88rLKddfZ8vj/BQKK3XiPoSH5NBiUfweDqh97K4JuLonF5JG+PvmODylGegMB+V4uJ4/l84p4tVtlLIqUbp23nfNyFEjGG2kjrVlp9fQHnxZgsnFSwQ4hI8H2RunA9S8fGyV04487aJHwTOgkbr/9dlU5XGt5UJgIbbddchxFiKGQ3NPXJ/z3e8HgN7jFrDynPxCQn6TT8rNSSU70oZUKz9iK2axqi7CID4HQ7FqNRdpo9j7j+TpHgQTFtkJV7tcFOTqRkP8Eg3JDiyfYTs+b8f89FFIBdnqV16cDNxrfpbGYkCZMPwe/yxPhsGxZ01/kmERCPgoGxagtaGV+6OfMeFzFSiDH9JMAqMTL3u3pkTm6iIyyfg1Yc9LbT/axJ6HT75XjQELjI4j9nu3tVYVt3SxsGDTKsTsV1g2dGW2CYbqFjQCpTQemN3kjuSIWE9xhT3cBkJACutjwsJxT3VCoLcCqvqaNgwFlfMSciDFAv+8nIWuPg+BXs2ZJwE8DtzBWw/0O6ehKXey+s6CSli51HEgIOtJql7gBNQndLLh5yNSZ7sNNFZ4o/PgX17nljHTgB/L5hj0p+PsV0ag868M5176LWA4ceLDGFqxaDvQe+SoYlKvbABKegY6w9rBKaunnvf5dmBaJyIGj0Kt7ffxmxkeX0Hd97EUwM0c3rnEcSJgEfR3wv7f7hXRDIe08AxA5Ix6Xf/qMNh/XFG4ciBcb0YBAnz6xXJZDGvj5sUb+GI/LDJ/NuXadiYMQGzpyaEgm16RuH5ZMCqWIFJm2I/B0YZUAIn4iMCV7jYLTV328tqOtG+zGa2Qycvw44BJr5/0181lXgOT5cFhIjcW9ZaYTn5mBe/Eaqpn3SyblPxYroTs5lwLV7Om04kM7qklA+L5IRLWU/Vs+/610YLojXhyPyws+3mxoakSa7211lschyaQAIZe3CSSs77XRqGqeBN0M/e79IFDn3xKNWi7I9MPcGCPlCQDl0+PA7e70mrgCJExi+1RK1uZU6/NivdEWhPgIp/ePenok5ZPgJEWjt0UiqqBwtO5++yaT6u/16cCcWrkHmT1+FMB/l1RK9cypJatkLjAi44w12uq2O79J6bR8r1KRK20ApnbHYubzNPaCzLNb+wlRdLr08PCoFEBm9KSvEXENSHD70JaV5jFz+2STtfqC0ABqoVxOUarXdhG0eh+3rsc3DA3ISQMDY1JgNGMHZl3hlnrFh0CCXQBF/hrlcsNWwwckk2op7ErnvjEaFWiDqJTHVeh1gWtsleFh+a3PkgTM6BV+uK3SaXkmn5eldJDdjMpGvcY1IGEU9Pymo/ZFPjmRtaLd1bNZxa9EQZvXhWDy+6GQaQqQRunA1JBQBe63uBBrAwX+TdWuh/M0ONzgpoR0sT4BoZ11ZXOGMqW2730793Pys3QNvHhgQJE2dpNQaLl11Z3bKO7XTXN1ay6uAgkFTiwgzZ/26LKX01iwvZJJ1bd9isdPcU+Hw8KmZuV03Cgd+FYq4eNxed1nFgm0GLAbnzWKNUaPemwSeurYJbdHo8I7cm1/v6f79ECRA3fc8729vqt/GWutaI3wRZtp3WM9Y7z93VUgQbl3RyJCEBMXVzfmbROgJG3SqY6Bdr2gNKyiyMyqdVifDkwf82PoY+IzINk9lVLxj9GKR7Ggcw26Rra7BrhUEDisvCq44UiNfdtHiSNmdEmG4lnxuNJ9Nyf+mNGFnde4DiQM/uREQjgR3uHhL1KrSibgvmMqpQLuXhU2/0NGSfcda9y16cB3RiJyVDIp//bwfOvnQ6YZdR0UjhIDaCZ7plIypwm+sbH0Vf93DlMAGUH8Ru2Lrd7PieuPSiTk36GQOvB1i2Bl4RE5fWCg61sHu71mHQESiCJY0NXKZdW/o5uEgPvCuZw8lc+rjBCvCTUNBNg3HCXdd6wxkw5MIJr2upAaHppMyjs+ARIobHDpQfc/Vte/X6ZSMl+lIr9zwE1JFuOsQEDV7nhRSAlfa3hYGvUw9+J4zYzp56mUctMBJFrs1UBHgIQpwOmEiY9rpdsq3tfPZOSgoSFPBimpvqdx1VjpvmO9ZoAHnLj0qSBN9j2fAAlu1beCQVM0Nrj/YEB2gtoEMP5FKqXef681jYJscpFcTllM3RJoJ7MQGiBcWrGxXm79d8sa6BiQMFJiCZNTKTm3UFCMs90ibKzzViqes7b+GwwKtQwUHra7eX0QDKoi061KJQVMH/oASO6JRAQr4/a+PtnARPotGz1tAZw6wW6XSgkFoVh2XhIjEaNbAu2wOEPIeXWhIIt70Esw1tp/+eWXqoWCl6WjQIJi/gaYJJOqTzitSbtBLo/F1OnHaymeJyYSqmFVKx3/Gq3LlbGYQMENn9rHHgcSXI4AH+SJp5l0bRDrWqJSkVNNXm/13b2jepDyWgYXvGNYrt1AjcKh7o1qt0+KQf0mZ599tkyfPl2mTZvm6aF3HEjQDpvuXqmU7D001JSmw9NarBvcs+Gwokp52UOZTPQgp7/ITTYXw22QTss/wmH536xZnl6iUxIJeaDKzGyWEp04xrKViqP04hul0zKXx+pKKJrsCQR82w6BF5Ej6b6plHweCCiuND82FmMeGkgsbivPhMPKMiFe4pQrweKQWr4cH/MK2ayySKia9oLsnUxKwoFiUNKdSRMlA+8nHplrvb6NPiNsKNtYcKHCiLxCuexoUyoyyIjb0EhrXQ/oj5Roimp3LBZ9e6ijy+V+qZRgf1zZ36+A2q+igaSFlXshFJJ9qpxcdlYTtzCUtj+CRTLfyIgnsl4I7MKV1Yzdt53JYk1um04rHjU2Qy8KjYsWqlTk9xYLC8ksXLVcVuywTgkbN82jaKx0icXxOTEmIzWZjpd+orw3dPFOMCh0KsXq5OCQ9jGIaIukjTecrmxU/uKbpj2pH4NjTJ9aDRpdQa/e6aZA1H1ASNiM3beN5VJBTDZcUp23LxblYI/FuYjhXBaLqYA2gXMrAgDB1HuMg0DCeOjtTvzqiXxelu9wMJgDB1XfJCT4TR6KROTEeFwWr1Tk8v7+rsjO0hZJG2/h+8GgnJpIyHOhkJw0OCjNuvO18QjHP0pwd9VMRlGlGB0HHX9ogwfQofJyG9J9m40dlyRBbKjWj0gk1Ia9TIc3Q2OsHEoY2ymDg7JnCwDHZ3HXHeEwkHwZCCirZMtSSTWA65TQM+iHmYycPDj4jb4snRqPledCB8/BDe4s9oxuEQ0kNqwkJzUAhWZDvBwJn5mpZIxwBraLPdaqSil4o/jwIBvSfZs9G1Zg6mbowQKHERGhdhtBWZ1ns+vN0KCM9izmhZXlRjYhDdFoW/xkPq9qVzohV2MZYUXn87JAh8Zgdd5kZEEm+k4oJCcODHiav8zq3LRrqxWNNfnMU+GwelEQwARfvF+EOhkaQuHeasQu6/Q82JxeDIdtS/dtNN63QiFZPZNRXFtfBQKKCJECPoK1nRSzNCijjZF5KSZnF+aCFY5VQiGr0xZQszmTXAAljB2NvNxYe3izOGj+uFRSe4PRItmNZ7v1DG2R2KjpgUBAgQmEgZw6+LL5QWjliXuLjQFKDjflX6GQKj78U3+/o70vPg4GZblsVl7s7VUxiItiMbk+FpN78/mOgCc6tkKDMtqaMC8ofNziw4L/i7oqYiVuB4n/GQrJupmMTO3vV0WmXhZo4E+NxwUgAUD288l+0IpONZC0orUxPkPbTwBljeFhBSiL+MD8PiyREDbbm+vauDqgnm/ckpRSHCRW2X2tjotixEVzOZmez8uy1djIz9JpFTR2glrEzPis0KCMdj/mRY912hC7IRCZ/jiTUdxe1FS5KcQYaFL2XG+vp4PUNKTCComPjKhkHK+k1zu1VhpIHNIsrhROI3B17VMsqi+cl9va3h+JyE6plKud2CiIJFPrYRdSONnu5p8wQaUWQ8KJPBwOC24SK71O7HpdrNKgjPZc5nWDzQWcY80TMkz8/o/k82NdauvfiQf9qFzuaLB/tAnBj0YMiR9iVhwko7ZqwJs300Di8LpAL0FaJ2YugOLVjoTw//4wm5VdikU5zKVsEgo7aWd8tksZQHNPmKDSRX9cE7/CTUPWFFTtbkkrNCjNxsa6Ma/7+vpUCrBbQkwQi444BYF+N4RaIFK4G/Wtd+P5oz2DynQDQMig23doyNX16PT8NZC4tALwPQEoBAkBFC+yldLbYUY4rE6ZTteUPByJyG7JpDza1ydLuJSGC23+ZYWCbFLjAvosGFSBd8g43Wpn2goNSrPXNF9tB/BYPi8ruqRHYyywDsOO4Fa/HpicAf2HXLaCRtsiiC+Stg6I4MIGQDqZRu/Sdvatx2ggcVHzpLkCJvxQibxvsaj6bXhFXguFZGI6LWe0WM9gZR5OEw02GstS2aycPjj4LRCHFfjYam2J04V2rdKgNNMtQMi8yLijwM1NMSjmb+3vd/w9hk1iUiajqv53dskCGkuX10ajAvEpxCYASDcxg4819/q/ayCxqjEbroceATDhFINlgoWyuotuidGmQOXyI1WrxCnf7l2RiPwmmVSxETcTEVbNZpXV0YiantN1WERlAzkprdKgNBvTu8GgMK/Xens7UlPBfOCIutphvRGT+SgYlLtddEE20znvL99dvsf7FYsKRPxWO2b3O66BxG6NWrjf8+GwXBqNKpoSYhP4mqEP76SQkrphJiOHOpiuSIAdf/5xLsViDH2uk8koEOGLXy+wDm+aych5Dp5426FBafZOYEUyLxp2TehAIezN0ahikK5NYrD7/SUpA/fjdf398rMOWvC3R6NySyQij8IJNzSkfjpVlGm3jtu9nwaSdjVow+fJyecLSWB+YrmsAIWfoA33buUW58bjX39h+vpszzQjp/60eFzde36XXTG0Zd2kXFYg2UjoTnd9NKqCuXZbSu3SoDRbRw4jzOvTWbM6lg67QSYjq5TLcq5DSRP7JJNCjRZA4rbgOuS7cGs0qup+qNXZqVh0PR7l9rytPk8DiVWNOXg9p2IAhR/6EuxQKilAcfvUQ4YZVsmuQ0O2FlXiwZ+Yyahg5OEuWyMsGxk/pP6OZgnRVpmukXZXTe+SSqk353qbN0MymbZPpzvaZ4Xizt/H4/JMb6/tVOhPhsOyRTqtXFp2WetDQwG5776wvPlmSJZccli22urbccqXQiEFHvzA0AuA8OP2d9HB7cbWW2sgsVWd9tyMk48BKPQsAEwAlR+66PbCB/zHWExlcNnlMiEwyT2JjczZATfMzqmUsjRG6yPzXHXjOqtQsI1yhDmfE48rS8cohrTnTRH5aySi6Mg/6GDnR9oZr5nJqESGVkgnR9PFnqmUJEdGLFPrN7vnW2+F5MADEzJjBhGxr2XxxSsyY0av+u97q9YHNPVrlcsKPHYslSTWgffVrnfEjftoIHFDyy0+YzAQkJuqbi/8xJzkARXYV90QrBKe2cwVZGUMTlk5VsYA7X9GRM4fo58GsYxL4nHVt2SpNlNqcWkRE8IKcqIKHL/98fG4vNHhLpeA2Sc2B8NJ+vh5Oq3Sfe1KbZ48OSl33PHtNJLF1qvInA9XBFfhFqWSApBNXfqeWXmHvXqtBhKvrkzduDgpYaVAsEhzIWohNiqVHG3qw/OIZ2CVtEvmOCUel5urcRdOmJ2Qg/G1i5hyW/08lRIoOK9p0xWFSyviYDYYKagXwqDQYSAxmBGg5+ckb4eQSUejL7so6194ISSTJnGUaCw/nlqS47YbctXyt0NPXriHBhIvrIKFMVAweHskokjzYGKl7SmAws8PHAhe01UQnqAj24hp/DcYFHqmHzo0JPu4zM1Uq9pjEgmVQmomaAvtPL75owcHFbNuK4JL64KqZbNkm5ZNs+dfGospUkBo3Tst0JeQjXeWDUF33m+sHKwRq42+munh7LPjctZZXzN0N5Kjjx6Uo47qnh4hbr4PGkjc1LaNz+LM92AVUB4Ih4XN2gCUjctlFay3Qzhp4hK6o7+/5VoXOMeoZCc28v+eaTtGZ+0ejOMVgNhkLQKbNBT3uLhWsggEhksL1lcnaXHOj8fl/nBYHjA5J2sas3Y1oEk6+7NtxtWoFt8qlZL1beqWSYr0A5GI3PFaRF5bLdR0UlOn9jcMvFvTwvi8WgNJF6x7IRAQwMQAFtw3gIkBLLk2XUmnx+OqVS1gYpV4EvJKquV/OzDgOkV9/dKeF4/Lg+Gw3G9h0/1lKqXcYbdYdHHh0oL59UqH+5vjevx7OCx3WpiTU688xZFrZbNydqEgu7dRfQ7LwL9Dobb607wXDCrw4IfMNqz1n5ZK8o9dQvLkbd8+ztQG3J3STzffVwNJl60udOm4BdRPOCwJkdmAArDgr29Ftq/6q2nJa0WOTCSEVEoK1jotuJpujEZVHw2z8mbVxYV7yywXF8+hayZZWovZZBk2Gy+bLllTN1gEOrPzt3odNR/0Um+Vf4t028MTCZXua9UK/DwY/No6qwII3RMBj43KZZlUDZy//XZQDj00KdOn/z+YrLNOWaZN6/z7aVXXXrpeA4mXVsPmsVBMhaViAAtfLMAEGm56pVgpCHw9FFJ1GMQMzLpqABDqRi4pFDreiRDV0o2QeofnLQamp0ajcnQyqVxcY/WVMFxaWGCNqFhsXmKhpwllelc4bPmYHTdJIVhjuNqs0v5Awc47dsjQkOxlMi71djAoZDTS/wMAgaoE4ABA+GlE88Ot77knKu++G5RFF63I9tu7w15sVod+vE4DiR9XrYUxfxgMKkABWJ4OhwU/NJsiX3ZABWr1sfiCaCiEhWE2XgI/Es/lZO4F4bR7Ujwur1sEEsa+bzIpn5pIb2UTzYyMyB9d2tixAJIicoFLzzOzjnQwpHhwtHqdRvchS4uMPhiamwlWx7OhkAIPfjisEA9USSdVAHG7a6MZnXT7NRpIun2FG8zvy0BAfQmfqX4Zab4FiAAogAubAFZLI4Fq/uVQaMx4iVGRDJnf1h7Jx+e0DLi930LxHhlyZHH9olhUVlkjwaVFgB7gXNhhl5bxfICLFNlOdXlspAcodrDiCLoDqmaE9HCyz+7q61PzMQRqFAM4eKd4Z4k9cfAx3lfe2eYhdDNP19e0qwENJO1qsAs+TyU9rgEDWAiaUs2OtQKokD1jVGTzxSajhv8fLV5CkJpeFXQf9Io8Wi1w+3zWrJaGdFM0qlJS2exqm2NxM8OlRerrjm0Emq0ObJt0WlYul1XPdq8ILiqC7hR+mnHvUXhImvlV/f2yTakkUMY/GYkIwEGSB827jHdxzephR1sdXlntr8ehgcRb6+GJ0fwrFFLAwpcYcCGAD/8UoMIGyonwwGRSzmwSL8FXTb8RAsBeqg42elr8t6dHzaEVoahRfNM1AAAgAElEQVTxX8GgipfEam6AZQDti9O95+vHTI+OzWjKZTKm0MqcW/kM3S97OEiMkQTAu7VRJiPzVCrKegE8yEIkSWH9Uulry6NclnlbXK9Wxq4/Y10DGkis62zcfYIN+IlIRAELAIOwEZcCAdmuWFQ0KlTbG4R2bKqEL62mzDqtWAKztBOGTsRKokHtuEhggPKEOZ9UzWDDpXVV1aVlV/2OWV0wnwMGB9tKtzX7LCvXGT3pH8znZbWaGhwOKZCTEtt4KRxW/w2kk6K+AdZvqaQOLHazL1sZu77WugY0kFjX2bj/BJsAcRIyoD4JBAROMIRT40LDw6qugb7v+w0NtU2tYqeyvwgEZPFcTp7J59vi0LozEhHIBG/q71fNpACW8wYGOtI+mfmcUyjIVh6JQ9Wu12rZrPxgeFjVcPDOABq8KxxCOHgQhYPbiqw+qNm1+FcDGkj8u3YdHzkhUWIh1DEcPzAgHwIusZiwYRMfQbBSVhkeVhsHvnx+ZzvkpmDjmmfCBLmvr09RebQjZK9BV4NlA5hYra9p59m1n2U+t/b1qThWJwXCxlpLA+CgtTRvAb1KVjXegeFhgS6G3i9nxeNyVaEg22gQ6eTS2fJsDSS2qHH83gQWKsCEIjRqJzZNp1VNw+bForxcTc80LBiqlRFOqLDqLlqpyCLV3/ApuZHptFAup8a3cZsneDbJH2UyquHSc729HfHh5wMBWTiXk0fzecvFe628saSMUzFe+0M226uhkJCWSyM2DgorVg8M9PHAzUlvF1irDTFA5NJCQbHsavG/BjSQ+H8NOz4DrI+dUinB//394eGmvE8EUZVvPBQSMsPIFqPOhN9syERfAJRacKkFGztSPJfPZuXYwcG2XSlkadH+lTn9bmDAdAGdnYuF3lbIZuWl3l7bYgoEvwGK90Ohb4EGfG4IGX2APmm6/F6iam00onrfIZVS1xuNwgwQubhQUO2ltXSHBjSQdMc6dnwWBOK3TKdl8eFhmWGBgsQYOA28aoHFABjj3/o4fVcqCmhqwQXXEoFaNit+N6pkrlUOxXLUgrTK6Gvci5M2Li2CwpBBUqTZrPbGqcUBzNaz0K8dHWJJGT+GZQFoYFnw//xtbmJdVZBo9NtsbQjzvrJKfAnNPQkJ8LZNsbFpmFO61fe1pgENJNb0pa9uooHDqjEDTq2cTFvlWmqmYE7KBrjUggzV5hRY8oOrh8roWmABYAyQ4TfV7bjVdi4Wv/Hv/M0sISVZWlT5kwKM+4ZU6DdCIcUqbFc3yWZ6YKMnrZbfpMqekEioqnbj39Tfq4BQ+2/8O/UYpCjPNTIic1YqsmCdZWGAxlgMB1a+BMTPVs1mZYdiUfGcYb050eDLypj0tfZrQAOJ/Todd3dkE/1xJqOqq6kbWSabVemxdvcnH0uxOEq+qgLLV1VwMf7fAJvHI1/TVpI5xL/hmjIEx02katVQI2L8d7Tm34gJ4cKjIHPBSuVrC2hkRKZHImpzJoWVf+MzuOIYUzEQUL9Jl+Y39zD+2/ib2etqdQBokgVFMNsACEDCAIrZ/10FDv7//2c7ljbt+zvvBnGUYwYH2+prY9+I9J3s1oAGErs1Og7vBwMt1cmP5/OqSA+LYcVsVpE7diqbqdkyHJRMqs3c4HNiIzZAhhN8o43d+Ddqx6fGYorbiayv2dcGAvJRICCPRSLK2iFTDaAgj8oAIQNc1O8qSNWCVSPganRdLVBgFdGPhBiJV8XonMj83ujpURaclu7TgAaS7ltTV2dE0JwTJ/xTB9RUVxvFf/z7UR6i78AV9O9gUG5ugXb9+ERCYEFu5rYjHgAXGS4uN9JxL4rF5M5oVGVteVEoXt0qnVYsvFiCBNhrs7e8OGY9ptY0oIGkNb3pT1U1cEo8LndFo8oaqa8PgV6FdGCyc9hEvCA0t1LU+hY5wIitUDtCA6nR+mQclkzK89V4idO0HgT5qQ73QlOr+rWFgJHYEYDK+GD2JfZiZG954V3QY7BPAxpI7NPluLsTRWhYI2RAUcneSN4JBoUKZ2ND6bSSyBy6LBq1lFlGl0eIKg+HW2yMlFVSobdJpVQ212h06HbogQSHmcGgTG3BurLj+c3uYaT47jk0pCr+EXrBnJJICNlb2r3lpPY7c28NJJ3Re1c8lQ3jT1VrZLTTN8FlwCQuIn/N5ztKm3J7NCrEdN60QCX/i1RKpcSaJWSE9gMw+c3goKNkipNTKWUFwrLrFSEGdX00qnqR/KrG1Uk236qZjFw4MKDdW15ZLBvHoYHERmWOp1sRoMYaoSaDAj8zQgEfxYhQlFAB3Ql5OBIRgOEzk1Tyv4vHZVokotwzgIlZ4QRO90KIK402r2Y/a/Y6qNdXGB6eTR5p9nNOXNcbCCiGA+IiN/b3q06c9bJ7KqWSD7R7y4kV6Ow9NZB0Vv++ffoFsZhcFI+r2EhtI6KxJrR3Mim3RaNybX+/bN4mTclYz2r0d4NK/uOeHlVzMpoYdPi39vfLhi2MlcD7Y+GwKlYkVdhu2SCTkS08QCFPAgIgwgxv6uuTxZvMlbgJyQ7avWX3m9D5+2kg6fwa+G4ExAGwRqgVOaXqA7cyCQL0F8TjcsbAQNsV5laey7VGNtk/e3tH3dyhiycuQnfHI01aXPVjIc0Yq2GekRGhU6Tdsko2K7/uMIU87Zt3SyZl7eFhRR75NYlKY/k8EFDFiaSE6+wtu9+Gzt5PA0ln9e/Lp9NOlowhrJFmp8+xJnZ1LCa/SSSUH91qb++x7j3a3w0q+en5/Oyuj42u36/amAk3TTsC3T5gAqX+ES0CUrPnL5rLKbqRTlHIG2topV6IuE5Iu7faeaU8+VkNJJ5cFu8OiiI7rJF1ymU5uwVrpHZmnGYBE/z8ZES5ETcxqOT/0tcnazehXgcoz4/F5O7+/rb6lhhzhRrkVwSh+/uVFWeXzDlhgqppcaNmpXbMgDF92S/jQDEwIAdZ6M5Iu2KSHbR7y663wBv30UDijXXwzSimRqNyeDKprJHlbAiY418/p1rbccTQkBxq86m9kWKhkofCvNGmTu3L1qmUcr+QSGCXEBu4NxKRG77ok+B7XxOVLLJIRWIx8wH82rFQhb+IixTyxrOJb50Ti0lKRIG/1VbKJGmQwQfnlnZv2fV2df4+Gkg6vwa+GsHGMPxWKrYXGBKInRKPK0ZdNih6dTslUMlTcQ9xY61AZU9cBAvpnDatrUZjnzg9LW8cHJKBd78GkgUXrMillxZknXWszxW23pVtppAfTd8wGGCFYF0B9oB+q+SO+yST6lE6e8upN9z9+2ogcV/nvn3iXyMR2TmVUqy36zqw0dMc6bxYTC6PxVT9BYBilpHXilKhkqeh0oF1LhmyrGgTfFdfn6QtpPqaefZbbwXlp5tkZNaX36ZNfPbZvCy5pLV0aGIvP7FAIW9mjM2uIRaCFbJkFeRxa7Yj10Wjqjviax7mCGtnfuPxsxpIxuOqtzjnPVIpgdXptjYD0GM9/qFIRKbEYoqZl6I+u9OE6bH+w3JZTqxxo0GASDEd9SLrtblRNprf4Ycn5KqroC78tqy+elkeeKBvLLV84+8Ph8OyXTotM03Ww1i6efViwAorhBRmQB1wt0PeDIVkzUxG0dSwDlr8rwENJP5fQ1dmQD/uiZnMt9qmOvlwmG2xUOhlgSsF1l07BNcKaarESRDiNFun0/KrwUE52KbNsn6ciy+eky++aEzinkqNyEcf9ViaGtXjZzp4qic9GytkYrmsQAR3n52yViYjuxb/r70zgZKrKvP4V/VeLa/WMAqERRYJYQk6gBMCA+Jhkx0kKhBQQJlkAmEZliEKkX04OiAMsk9AGGfYRANhUcYIOECAEDZlE4iKMxoygkJXb9XdVdVz/peunKYn3f2q6t1X99b733PqdJ/k1X33/r7X9a9777cMfiT6Pcj+2Ve4BCgk4fK29m7f8DxZ7rryRMiZZlHHAoLyS8eRU8tlOWZoSFItbjupnE+Oo7bo0L6czarD49s0rrTmzMnKww9/WAtlbJs2rSYrVzaWCh4R98sSCVkWsD3gEICtxbficSXecO3V0U7LZFQhMtPyhOmYaxT6pJBEwcotzhF5kvbI5+X0cllO0/TBMtkQcRiPtCOo9AdvKryaza67eOQcZmWppEq//jCZVFtaKOGrq2FbC9tb62onnjYoV1zUWL4spF9B1ch/C0j8cIiO7T0I7NGDg8qlF2WNdTWck1zgefLbBnKe6RoL+22dAIWkdYYd3wPSoVyXTguC+DbU+OHiB+TSREIQi4CcXXVBmdbgmB5MJATbW8jOe1w2K7f09cnsAF19x5vHvHkZueeej1aV3/CEmmyxuCYPN5jW/shsVraq1VRVymYbVgQQD7xQURICghf61d3qxc94TqKbdDj9U0jC4WztXRDlsHs+r4LekNLElPak66oPwPuQhHFkhbKzz338+nkPzlyOHBqSC0Oc16OPurJqFYrwikybVpVN9xsWiAK84Bqp2YIVIs6Omlkh/jEeXysgqG9fFxDd9ebHPjs4J4EL9ljvOVOeMY7DPwEKiX9Wkbzy7mRSkC4EVfgmKujULjg4KMfBM+qMHD4iKJNFev8hHhfEksA7a2mDKwEd84SX2lHZrJzf3+/7sB/pURDr8sUGVlKvO85aAfnralUJCMSoXe2MTEaVKEZSTDa7CVBI7Laf9tEjTxS+qd5i+B87kiyiNgoEZZtqVfYZGpIDKxX1+9iGtCyIjbi+r0/mtPGDdPS46nmr7ujtlQMnSaOCOvMbFYvyk54e2W0S91lw+bnrKhdeVLKE2M4ZGlJ82t3uTSRkfgMp/ds9Xt5/fAIUEj4d4xKo19xG4sIDDPjg8WMqfDwuTSYFcRaoPYIU9xg7Xp+qVuWGVEqlMkeVvkX9/XK8IUKCucGbDOdRT3V3y3YTbNPVq06+WCqpSoxj2//E44JzIIjHLxIJFauBVRrEI4x8Zn7shGuQLmWaT0H02yevaw8BCkl7uFtx1wWZjPwuHlfffG1scFzFtpFyk3VdwTE3UovgXOEZRIZXKipVikkN2XGXJBIyUb0UnA8hqBLFuepH9xCXB5JJVY/+GddV9VP2q1TUHLf2eXbUDg7IMnDI0JAsNMwO7WBh8z0pJDZbT+PYEX2MA93L+/rkBIO+tTc7ZQjiIfm8rF+rSU8sJu/EYrJ5raaSB25frcpftRib0uy4xr4P3lNH5XJKwFeN4xoLd+XzPE/u7ulRQnl/IiGvOo5KoIgsAFh9TA3B8yqIOWObESsoVJJks5cAhcRe22kd+SXptNybTCqX38kqCWodSECd4zAbpyU42EV8+d9nMoLa6jj/QdDjx2s12R6valVtK+E1o1ZrOfixmeEjNQnGizgOuAVD1F+LxwWH5XAuQIZiCA68zmZVq3Lo4KAcUKlYaSfEr2CrcTzRbIYf3xM+AQpJ+MyNvyNSlGM1AtdM07Z+moGHb++I2EYFv3ohrutSKUGQI84j0PCNHoJSf73sOCryGkGKEJW6wHxieFjgMlsY+ZlucSWDTFPgXX+9G48r0cB23FOuq0QPLtiIlUGakk9VKvKs6wq27X7cAd/i33Ic2SWfl5dKJbVCZLOTAIXETrtpHfXNOJBOp2V5d7fWaG+tkxjp/NZUSs70PBnrMIBziDMzGXl7gshqbC+NFhf8jgzFoxvSMNZFpf5ztNAgnctooRj7O8oWj20QDLwgFvckk8rF9+aRvGC49ivZrGxQq6maKZ3QUFcFlR5nW+LQ0QnMg54DhSRooh3Q3365nNrW+ZdRH142TusJ15Uv53LKO2ts0NsK1xXUVvlDV1dDqeoHsHoYtYoojawm6j8hFKP/DdevS2Am+rfRrOFlhoqC8wYG1lak3DufV0W5kBm5ExqyGG9brcqlHSKMnWCTRudAIWmUWIdf/0AiodKGPNTTI39rcYpv5Af7UjYru1SrctU6BBEHvJ8uFOTZUqnpuvNhPQpI0IhMv6j5fm65LNsWCnJBuWxMDEyrHDC3x11Xfmqpd2Cr8++E91NIOsGKAc4B7qc4NbDdi+b4bFbFKaB2yrrOMeq121HESmc1xqBMgwPpa0dqpJ/veSrJ5GQR/EHdW3c/OA/6ajYrazTWVtE9h6j3TyGJ+hMwav6/j8dlVqGgXH5RK8LWdnE6rVKBQEQmqiu/TaEgF5XLKlWIDQ0Zf5EBGe3Z7m6j40Ma4QkPtK2KRVWiYCJ7NdInrw2XAIUkXN5G3w2eTN9LpWRFd7dyi7WxwZ305ExG1bn4wiSHtyhVi7iLMy06a/hCLifIOIDMxe3MkxX0s/GZQkFOK5eNyjQQ9Bw7uT8KSSdbt8G5HYhD9mpVrrD00BNxITgXQeS6n4No1J9H4N53LZov8lPNy2YFW3O2bMv5eQyPzmZleq0mF1tkCz/ziso1FJKoWHqSeSKtBoTE1g8nbI/AQwvpQOoldCcz7T96nqiU6hbFY2DViGzHcDGG55mpWZknYz/2/0/PZJS7s1/bNdo/r9dLgEKil681vS/yPFnhOLLMUs+ZuYgJcRwVdOh3W+7qVEqQJr8elGiDsc7xPJUvDM4QqBODSPcXSiWt1QzD4IJKlS+4rvzY0ucvDEYm34NCYrJ1QhobvgnuWiio+tzNFEoKaZjj3gZZc3G4fldPT0PZbX864ur8rkXeQkfkcirK/p9GtoDgwgxXZqQY+Zil51owLMofw5EAKXnY7CNAIbHPZoGPGFHeJ2Wz8oyF32xRf+Rsz5Mf9Paqg/NG2qp4XGYWCvJ8qWRNBP+MQkHFk4xOpLllsahq2UMQ3UYAGHQtSiifk8nIG6zhbpBV/A+FQuKfVcdeidgRQfEqyyLZH04kZE42q+qWzx/Auqrx9rEpU1T6lM83KEKN36n1dyCdyqbF4jqDRdefMkUdwDcaqd/6qILpoX5G975Fq8NgZt4ZvVBIOsOOTc+iHjtyow932aZvouGNr4xkyD1iaKil1Bqz8nkVM2ND3XBkBYbL8ptdXbL+OraxUH73/VhMXimVZBPLEiD+Nh4XuABjRbKBxVt0Gh51K7qkkFhhJn2DhBfQbamU2tZy9N0m0J7xYQl30Y2Hh1W8SCsNEdWoRXK1BasxJHDEYfvvJtj+2S2fl187jkq4ibMUW1p9tYUzErigs9lFgEJil70CHy1cfnetVFTuJlsatuL+Ox5Xh+utHjAjCh71PWzI8wTPJgQj/mwSz6Z60KJt+dLWmzJFHujpkT0szvFmy99Q0OOkkARN1KL+nnMc2S+fl593d8tnLPkWiDxT9yQScndvr0q13mq7a6Sw0lsWHPKekM1KbnhYrvWxepqXyagU9IiROdCC8x/YkULS6tPcvvdTSNrHvu13/k46LY/4+Ibb9oGODOBfUylZ6Hlye2+vKisbRKuL6W+6uowptzvevBA3grQop/t0LPim58mNqZRc39dnRaZgCkkQT3R7+qCQtIe7EXfFauQAS+paoMIhCjqhxvpcnx+kfiCjdsjmxaIqaTvL8C2VDaZMkdsaFFGs4K5JpVrybPPDMYhrKCRBUGxPHxSS9nBv+13r38T/q7s7kC0inRP65YiH1lFDQ3KRhlxMqO+xqFyWrxicBRjVGndusn4KzoGuSqdV2eSFBp+FUUh0/hXp7ZtCopevsb1jWwvFhHAga3J7LxaTObmcbFataotzOSyXUxHxOkQqKLao2XFUNit/aTLOAsWjUCALW4LYGjSxUUhMtIq/MVFI/HHquKuwrXVIA/vt7QKAA+Z3YjF1uO43h1ajY0VNd1RURGCiqQ1u2j9IJlWK/2Yb3o8zpmm1mqr9YVqjkJhmEf/joZD4Z9UxV9a3tZCscLsAPJ90gUEiyftGPLR0xhbgQPrmVEqeK5V0TaXlflHUCquz/2hR7J50XfmG56mUKkt6e2W6Ifb/lePI5/J5sWGrtWVjdmAHFJIONOpkU8K2FlJSoFyrqe2GVErO9Ty5q7dX9g/IQ2u8ucJz7Uu5nPz5gw8kbiiQg3I55QwQRLwPVl9YmWDecCVGdoB2t9tHVktI8cJmHwEKiX02a3nE2NY6YnBQTg7Q+6nlQY3q4P5EQlBzHQWnvh7CGJE9F1l0n+nulm0M+YY+luf0YlGd4cwJ0CHgQs8TpNIPi/NEzwi+NLwVj8s9La64gnwO2Zd/AhQS/6w64sr6ttbKUkntlZvWsPWCQ+WTBgaUJ1VYbWqxKIv7+hrOIBzG+JASBnm0lnV3y98ELHT1c5OzfVaV1DVfrAix4kJmYzb7CFBI7LNZSyPGthZK0v7IwG0tFGmanc0qz6IrNbj5TgRuz3xe1Xg3sX77s64r++dy8nZXl6qMGHSDeGNFsFmtptyDPxWwWPkZL1aEKPFsQxZmP/OJ2jUUkohZHDXNZ1arxsUTrInHBW64O1Sr8v02bG+cmMlIUkRu8JF+JOxHBqV1L0mn5Q2NzgA4fIeLMCpGQkywIgyr/WcioZJw/rpUkg0NXCWHxcHm+1BIbLZeg2Pvi8Vkm0JBRUfvY1AUNz6yDsrnJT88rGrGt6NhpYYPtEcNdItFdPqLjqMSGupu8JKDoGwd4uoENWU2rdXk8pBXobpZRql/CkmErI0ARKQZQVlWfPs2pSFbLc4B4PrZrvazREKOzWZVlUHTGsrrYrvp4pA+aP8UjysxuTeR0L46gXhjNfhoT48xrsim2d+G8VBIbLBSQGNEmozlhp2PoB4ICja91OZ6KH/Caq1YFBNja6YVi/LPfX0yO2Q33R8mk0pQtq1W5cTBQdlXw/2xGtm2VpMLQhLJgP6U2M0YAhSSCD0S8IzZpVKRcwzxjFmQyQhqdaOin66o9UbMu0OhIOeXyyrDriltdTwuqNP+QqkkW7bh/ACu0Vek0yqqHvEmcMcOql7IRZ4ndyQS8khPj9raYrOXAIXEXts1NHKEnG0yZYo82NOjxKTdDdHVN6VS8qtSST5hyIcIVkf4sA5rC8mPDbD1Mz+TmbAqop9+Wr0GK9nFqZQSfsSyQFBacUVGWhpkdL6+v1/20bDSaXW+fH9jBCgkjfGy9mpEsh+JyoIGRA6j0h++5ZpWDvbKdFqeMCziH5yecl1ZEsJBu5+H+yeJhKAuDCo1YuWGrAMHVCqS8emWjNrs306nBdmMr+7vt6ocsB8+Ub2GQhIRyyPzKzx/2p2YsJ7S3MT6H4+6rswbcUYw5bFA0spPVqtqy82kdkcyKbcmk/Kc60p2eFgOGRpa+xo7zt/E4wJnBrx+4bpy2NCQXNXXZ3whMZN4mz4WConpFgpofIfmcirY69QQ4wPGDv08z5PrUylji0jVI8hfLZVkY0O22z5TKMiF/f1GRtzDvlhhYHWCoEa84PG1roZgRwR8fnFw0Pj6NwH9yUWqGwpJRMwNz5+b2hg/cpbnyfdTKXmsu1t2bEPktF8z71QoyLf7+7UnivQznt5YTDYtFuXlUsmaw+hXHEdlFh7bgjqg98ON14RPgEISPvPQ74hviQhEbFfkMLyzsBViclLEulG+ns2qffuzDdhKwrnWcdmsvGnAuVboDy1vaBUBColV5mpusNiXnpvNyltt+EBCsNmSZFJeLJVkC0O2iyai+L1USl5wXRX93+4GL6llris/NGAs7WbB+5tNgEJitn0CGR1qezycSMjSkD1/ECkOL5/XSyWZaoGIADa8tlBE6nmNea38GvX0TEZx+6YBqyO/Y+Z10SRAIYmA3U/LZCQ3PCyXhRg9jOBHFE76bVeXrOfTNdQEU/TEYvKJYlFbpt1G5oiMxOeWy3IA4ywawcZr20CAQtIG6GHfEoWsjh8YkK+EFLF9YC6nKjCu7uoSzyIRqdvls/m8fKNcloPb+AHeFYvJFsWiCkQ0Ieo/7GeW97OLAIXELns1NdpNikX5UW+v7BZCRPvOhYKsicUEJVNNLVs7GUSUoXVEQl3BjR0Tor4vGwnanGy8/H8SaDcBCkm7LRDC/debMkVl1v20RrdbxGDskc/LBsPDysXX5oY0IFen021NKY9CU0hrw9TqNj9J0Rk7hSQCtoaQ6Cyt+yvHEZyJ7DU0JDcZWBiqURP/MR4XJHDUVZHQz3j2zedlQbmsEiWykYDpBCgkplsogPFBSHR5Ti1LJOTvMhlZMDBgTFbhAJDJLvm8XNCmc5L6+QhS629uibdbEMzZh70EKCT22s73yCEkSNaICoRBtgdHRAR5oE5uY+qVIOdU7+vMTEbxuihET7f6vXE+ghTrzxrggqyDLfvsPAIUks6z6f+bEYTkvQ8+UAfIQTUEyyEVPJLvHReSN1hQY/fTD+qk35lMykMhx95gbBCRv8RicnUHbBP6Yc1r7CdAIbHfhpPOAEISVI4rnB8ggy8S9F3S3x961b5JJxvQBa85juydy8kbpZIUA17JTTbEw3I5mT04KCd0oEBPNnf+v50EKCR22q2hUSPzL4oH/UOL20/wZrrE81Quqm/198vWHb5/jwSO8JrSUWJ2PAPifGT7QkF+2tOj1cuuoQeIF5PAJAQoJBF4RL6TTguysv57kzmbUHj2Us8TpFpZ1N8vp7coSLYgR56w6bWaLAwxRckjiYSc4XmqciQbCdhCgEJii6VaGCfKteLD6bUmPpzglXVVKiWoqP2tcll2DyGosYWpBvpWlAK+P5EI9ZzkQs+TP8ZispjnI4Hakp3pJUAh0cvXiN7/Nx6XbQsFOWlgwHe0Ns5Abhn5IMX7ICKpkM8K2g3vDceRXfN5lcDxkyFt4+2dz8u8gQE5mucj7TY/798AAQpJA7BsvvS+REK+ls3Kd/v75esTbE294DhKQHAegtxceO2gMSLedKY4+EZVv+ND+GB/1XHkgFxOCRcyBLCRgC0EKCS2WCqAcdbF5KuDgzKzUpFdqlXZqFZTCRafdhx52nVlBdKol8tKQLYK6Vt4AFPT1gVq3b8Rj8stIWw13ZhKKVuYUAtFG1B23JEEKCQdadbxJ/XzREIVS8JP1NtG27ZalZl4VbDSGqMAAAbESURBVCqyb6WixIXtQwIvOY4clcsJosx1ZzJG/Zb9h4Y6Mi6Hz1NnE6CQdLZ9J5wdtlI2rNXk49xGmZDT7iPpUj6vMe/Vn2Mxgbvx093dsgmFPMJ/lXZOnUJip9046hAJnO95ghMLBGDqath2RLaAdkTS65oT+40OAQpJdGzNmTZJAOdGqFHyC43p8c/yPFXT/tSIxOg0aQq+zVACFBJDDcNhmUVgRqEgN/T1yZ4a4mhQ3vegXE5u6e3t+GwBZlmVowmKAIUkKJLsp6MJIDvA6nhcSyJFJIeE8wOEhI0EbCRAIbHRahxz6ASQrBI1SpZ3d6stqCDb0dmsHDs4KIdqPMwPcrzsiwTGEqCQ8JkgAZ8ETs5kVGzNWQHm3nrCdeU8z5PHNZ6/+JweLyMB3wRWrVola9asWXv9nXfeKS+//LJcdtlla/9t6tSpMm3aNN99hnFh7P3332eobxikeY9xCTzmuoJa6liVfBiB03o7I5ORzWo1OSNAcWp9VOyBBCYmsPvuu8trr7024UXbb7+9LF++3CiUFBKjzBHdweBQ/GuDg/LlAFKmICD0s/m8PNndLVsGvF0WXQtx5mEQuPTSS+Waa66RwXH+DpLJpJx66qmyaNGiMIbj+x4UEt+oeKFOAoj1eMR15a4ADsZxgP/7eFyuDyH9ik4m7Dt6BF566SXZa6+9Jpz4Y489JjvuuKNRcCgkRpkjuoN5NxaTffJ5OWNgQL7WQszHc66rXH5v7+2V/XjIHt0HyuKZb7zxxtI/TpCu53myevVq42ZHITHOJNEd0G3JpFyeTstPenpk8ya3pOZks7JxraayMbORgI0EDj/8cHn88cfXOfQ999xTli5daty0KCTGmSTaAzoum5X1hoebiiu5OZWSa1MpJUQQEzYSsJHA7bffLmeffbaUxziKpNNpueKKK+TYY481bloUEuNMEu0BISswtqYQ7X54A1tTOGA/OJeTc8tlQTp/NhKwlcCbb74ps2bNWufwV6xYIdOnTzduahQS40zCAV2ZTss9iYTc1tcn2/gs/oXiYvBjZ80RPj+dQGC77bb7SDwJ5oT4kddff93I6VFIjDQLBzU3k5FXHMeXmEBEsCJBPfbpPoWHhEnAZAILFiyQO+644yNDPOaYY+S6664zctgUEiPNwkGBADL3PoXKhhOsTCAi78ViclNfH89F+Nh0DIElS5bIKaecstZ7C95a1157rcyePdvIOVJIjDQLB1UncKHnya3JpMyqVGRWtap+Pu848rzrynOOIztWq+o8pcgiYnxoOojA22+/LTvttNNHZvTiiy/KFltsYeQsKSRGmoWDGk0AxalWuq6sdBz1c+dqVXaqVGSnalWOHhwUh7hIoAMJ7LHHHvLqq6+qmc2YMUOefPJJY2dJITHWNBwYCZBAlAkgDcqNN96oEMyfP1+QPsXURiEx1TIcFwmQQKQJPPTQQzJ37lzFYPHixXLwwQcby4NCYqxpODASIIEoE3jnnXdk5syZCsHKlStlo402MhYHhcRY03BgJEACnUAAxamabUjQiDZZIseJ+l+4cGGzt/f9PgqJb1S8kARIgAQaI4AD8laEpLG7rftqCAkO7nU2ColOuuybBEiABCJAgEISASNziiRAAiSgkwCFRCdd9k0CJEACESBAIYmAkTlFEiABEtBJgEKiky77JgESIIEIEKCQRMDInCIJkAAJ6CRAIdFJl32TAAmQQAQIUEgiYGROkQRIgAR0EqCQ6KTLvkmABEggAgQoJBEwMqdIAiRAAjoJUEh00mXfJEACJBABAhSSCBiZUyQBEiABnQQoJDrpsm8SIAESiAABCkkEjMwpkgAJkIBOAhQSnXTZNwmQAAlEgACFJAJG5hRJgARIQCcBColOuuybBEiABCJAgEISASNziiRAAiSgkwCFRCdd9k0CJEACESBAIYmAkTlFEiABEtBJgEKiky77JgESIIEIEKCQRMDInCIJkAAJ6CRAIdFJl32TAAmQQAQIUEgiYGROkQRIgAR0EqCQ6KTLvkmABEggAgQoJBEwMqdIAiRAAjoJUEh00mXfJEACJBABAhSSCBiZUyQBEiABnQQoJDrpsm8SIAESiAABCkkEjMwpkgAJkIBOAhQSnXTZNwmQAAlEgACFJAJG5hRJgARIQCcBColOuuybBEiABCJAgEISASNziiRAAiSgkwCFRCdd9k0CJEACESBAIYmAkTlFEiABEtBJgEKiky77JgESIIEIEKCQRMDInCIJkAAJ6CRAIdFJl32TAAmQQAQIUEgiYGROkQRIgAR0EqCQ6KTLvkmABEggAgT+D7rwBQUc2Rd4AAAAAElFTkSuQmCC"/>
        <xdr:cNvSpPr>
          <a:spLocks noChangeAspect="1" noChangeArrowheads="1"/>
        </xdr:cNvSpPr>
      </xdr:nvSpPr>
      <xdr:spPr bwMode="auto">
        <a:xfrm>
          <a:off x="10995660" y="82699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1028700</xdr:colOff>
      <xdr:row>332</xdr:row>
      <xdr:rowOff>30480</xdr:rowOff>
    </xdr:from>
    <xdr:to>
      <xdr:col>6</xdr:col>
      <xdr:colOff>1615440</xdr:colOff>
      <xdr:row>333</xdr:row>
      <xdr:rowOff>0</xdr:rowOff>
    </xdr:to>
    <xdr:pic>
      <xdr:nvPicPr>
        <xdr:cNvPr id="171" name="Grafik 170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860" y="63284100"/>
          <a:ext cx="5867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746760</xdr:colOff>
      <xdr:row>121</xdr:row>
      <xdr:rowOff>60960</xdr:rowOff>
    </xdr:from>
    <xdr:to>
      <xdr:col>6</xdr:col>
      <xdr:colOff>1623060</xdr:colOff>
      <xdr:row>122</xdr:row>
      <xdr:rowOff>175260</xdr:rowOff>
    </xdr:to>
    <xdr:pic>
      <xdr:nvPicPr>
        <xdr:cNvPr id="176" name="Grafik 175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2943820"/>
          <a:ext cx="8763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922020</xdr:colOff>
      <xdr:row>526</xdr:row>
      <xdr:rowOff>38100</xdr:rowOff>
    </xdr:from>
    <xdr:to>
      <xdr:col>10</xdr:col>
      <xdr:colOff>266700</xdr:colOff>
      <xdr:row>527</xdr:row>
      <xdr:rowOff>152400</xdr:rowOff>
    </xdr:to>
    <xdr:sp macro="" textlink="">
      <xdr:nvSpPr>
        <xdr:cNvPr id="5" name="AutoShape 1" descr="{\displaystyle M(\lambda )\,\mathrm {d} \lambda ={\frac {2\,c\,\pi }{\lambda ^{4}}}\,k_{\mathrm {B} }\,T\,\mathrm {d} \lambda }"/>
        <xdr:cNvSpPr>
          <a:spLocks noChangeAspect="1" noChangeArrowheads="1"/>
        </xdr:cNvSpPr>
      </xdr:nvSpPr>
      <xdr:spPr bwMode="auto">
        <a:xfrm>
          <a:off x="10957560" y="100949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526</xdr:row>
      <xdr:rowOff>0</xdr:rowOff>
    </xdr:from>
    <xdr:to>
      <xdr:col>10</xdr:col>
      <xdr:colOff>304800</xdr:colOff>
      <xdr:row>527</xdr:row>
      <xdr:rowOff>114300</xdr:rowOff>
    </xdr:to>
    <xdr:sp macro="" textlink="">
      <xdr:nvSpPr>
        <xdr:cNvPr id="12" name="AutoShape 2" descr="{\displaystyle M(\lambda )\,\mathrm {d} \lambda ={\frac {2\,c\,\pi }{\lambda ^{4}}}\,k_{\mathrm {B} }\,T\,\mathrm {d} \lambda }"/>
        <xdr:cNvSpPr>
          <a:spLocks noChangeAspect="1" noChangeArrowheads="1"/>
        </xdr:cNvSpPr>
      </xdr:nvSpPr>
      <xdr:spPr bwMode="auto">
        <a:xfrm>
          <a:off x="10995660" y="100629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239603</xdr:colOff>
      <xdr:row>15</xdr:row>
      <xdr:rowOff>144301</xdr:rowOff>
    </xdr:from>
    <xdr:to>
      <xdr:col>1</xdr:col>
      <xdr:colOff>2651760</xdr:colOff>
      <xdr:row>23</xdr:row>
      <xdr:rowOff>22860</xdr:rowOff>
    </xdr:to>
    <xdr:pic>
      <xdr:nvPicPr>
        <xdr:cNvPr id="174" name="Grafik 173" descr="Bildergebnis für elektromagnetische wellen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943" y="2925601"/>
          <a:ext cx="2412157" cy="135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544</xdr:row>
      <xdr:rowOff>0</xdr:rowOff>
    </xdr:from>
    <xdr:to>
      <xdr:col>9</xdr:col>
      <xdr:colOff>304800</xdr:colOff>
      <xdr:row>545</xdr:row>
      <xdr:rowOff>121920</xdr:rowOff>
    </xdr:to>
    <xdr:sp macro="" textlink="">
      <xdr:nvSpPr>
        <xdr:cNvPr id="13" name="AutoShape 1" descr="Bildergebnis für wiensches verschiebungsgesetz"/>
        <xdr:cNvSpPr>
          <a:spLocks noChangeAspect="1" noChangeArrowheads="1"/>
        </xdr:cNvSpPr>
      </xdr:nvSpPr>
      <xdr:spPr bwMode="auto">
        <a:xfrm>
          <a:off x="10035540" y="1039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544</xdr:row>
      <xdr:rowOff>0</xdr:rowOff>
    </xdr:from>
    <xdr:to>
      <xdr:col>9</xdr:col>
      <xdr:colOff>304800</xdr:colOff>
      <xdr:row>545</xdr:row>
      <xdr:rowOff>121920</xdr:rowOff>
    </xdr:to>
    <xdr:sp macro="" textlink="">
      <xdr:nvSpPr>
        <xdr:cNvPr id="19" name="AutoShape 2" descr="Bildergebnis für wiensches verschiebungsgesetz"/>
        <xdr:cNvSpPr>
          <a:spLocks noChangeAspect="1" noChangeArrowheads="1"/>
        </xdr:cNvSpPr>
      </xdr:nvSpPr>
      <xdr:spPr bwMode="auto">
        <a:xfrm>
          <a:off x="10035540" y="1039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543</xdr:row>
      <xdr:rowOff>0</xdr:rowOff>
    </xdr:from>
    <xdr:to>
      <xdr:col>9</xdr:col>
      <xdr:colOff>304800</xdr:colOff>
      <xdr:row>544</xdr:row>
      <xdr:rowOff>106680</xdr:rowOff>
    </xdr:to>
    <xdr:sp macro="" textlink="">
      <xdr:nvSpPr>
        <xdr:cNvPr id="20" name="AutoShape 3" descr="Bildergebnis für wiensches verschiebungsgesetz"/>
        <xdr:cNvSpPr>
          <a:spLocks noChangeAspect="1" noChangeArrowheads="1"/>
        </xdr:cNvSpPr>
      </xdr:nvSpPr>
      <xdr:spPr bwMode="auto">
        <a:xfrm>
          <a:off x="10035540" y="103738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543</xdr:row>
      <xdr:rowOff>0</xdr:rowOff>
    </xdr:from>
    <xdr:to>
      <xdr:col>9</xdr:col>
      <xdr:colOff>304800</xdr:colOff>
      <xdr:row>544</xdr:row>
      <xdr:rowOff>106680</xdr:rowOff>
    </xdr:to>
    <xdr:sp macro="" textlink="">
      <xdr:nvSpPr>
        <xdr:cNvPr id="23" name="AutoShape 5" descr="Bildergebnis für wiensches verschiebungsgesetz"/>
        <xdr:cNvSpPr>
          <a:spLocks noChangeAspect="1" noChangeArrowheads="1"/>
        </xdr:cNvSpPr>
      </xdr:nvSpPr>
      <xdr:spPr bwMode="auto">
        <a:xfrm>
          <a:off x="10035540" y="103738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543</xdr:row>
      <xdr:rowOff>0</xdr:rowOff>
    </xdr:from>
    <xdr:to>
      <xdr:col>9</xdr:col>
      <xdr:colOff>304800</xdr:colOff>
      <xdr:row>544</xdr:row>
      <xdr:rowOff>106680</xdr:rowOff>
    </xdr:to>
    <xdr:sp macro="" textlink="">
      <xdr:nvSpPr>
        <xdr:cNvPr id="28" name="AutoShape 9" descr="Bildergebnis für wiensches verschiebungsgesetz"/>
        <xdr:cNvSpPr>
          <a:spLocks noChangeAspect="1" noChangeArrowheads="1"/>
        </xdr:cNvSpPr>
      </xdr:nvSpPr>
      <xdr:spPr bwMode="auto">
        <a:xfrm>
          <a:off x="10035540" y="103738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542</xdr:row>
      <xdr:rowOff>0</xdr:rowOff>
    </xdr:from>
    <xdr:to>
      <xdr:col>9</xdr:col>
      <xdr:colOff>304800</xdr:colOff>
      <xdr:row>543</xdr:row>
      <xdr:rowOff>121920</xdr:rowOff>
    </xdr:to>
    <xdr:sp macro="" textlink="">
      <xdr:nvSpPr>
        <xdr:cNvPr id="29" name="AutoShape 10" descr="Bildergebnis für wiensches verschiebungsgesetz"/>
        <xdr:cNvSpPr>
          <a:spLocks noChangeAspect="1" noChangeArrowheads="1"/>
        </xdr:cNvSpPr>
      </xdr:nvSpPr>
      <xdr:spPr bwMode="auto">
        <a:xfrm>
          <a:off x="10035540" y="103563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559</xdr:row>
      <xdr:rowOff>0</xdr:rowOff>
    </xdr:from>
    <xdr:to>
      <xdr:col>2</xdr:col>
      <xdr:colOff>304800</xdr:colOff>
      <xdr:row>560</xdr:row>
      <xdr:rowOff>121920</xdr:rowOff>
    </xdr:to>
    <xdr:sp macro="" textlink="">
      <xdr:nvSpPr>
        <xdr:cNvPr id="30" name="AutoShape 12" descr="Bildergebnis für wiensches verschiebungsgesetz"/>
        <xdr:cNvSpPr>
          <a:spLocks noChangeAspect="1" noChangeArrowheads="1"/>
        </xdr:cNvSpPr>
      </xdr:nvSpPr>
      <xdr:spPr bwMode="auto">
        <a:xfrm>
          <a:off x="4610100" y="106687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560</xdr:row>
      <xdr:rowOff>0</xdr:rowOff>
    </xdr:from>
    <xdr:to>
      <xdr:col>5</xdr:col>
      <xdr:colOff>304800</xdr:colOff>
      <xdr:row>561</xdr:row>
      <xdr:rowOff>121920</xdr:rowOff>
    </xdr:to>
    <xdr:sp macro="" textlink="">
      <xdr:nvSpPr>
        <xdr:cNvPr id="32" name="AutoShape 13" descr="Bildergebnis für wiensches verschiebungsgesetz"/>
        <xdr:cNvSpPr>
          <a:spLocks noChangeAspect="1" noChangeArrowheads="1"/>
        </xdr:cNvSpPr>
      </xdr:nvSpPr>
      <xdr:spPr bwMode="auto">
        <a:xfrm>
          <a:off x="6522720" y="1068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560</xdr:row>
      <xdr:rowOff>0</xdr:rowOff>
    </xdr:from>
    <xdr:to>
      <xdr:col>5</xdr:col>
      <xdr:colOff>304800</xdr:colOff>
      <xdr:row>561</xdr:row>
      <xdr:rowOff>121920</xdr:rowOff>
    </xdr:to>
    <xdr:sp macro="" textlink="">
      <xdr:nvSpPr>
        <xdr:cNvPr id="33" name="AutoShape 14" descr="Bildergebnis für wiensches verschiebungsgesetz"/>
        <xdr:cNvSpPr>
          <a:spLocks noChangeAspect="1" noChangeArrowheads="1"/>
        </xdr:cNvSpPr>
      </xdr:nvSpPr>
      <xdr:spPr bwMode="auto">
        <a:xfrm>
          <a:off x="6522720" y="1068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562</xdr:row>
      <xdr:rowOff>121920</xdr:rowOff>
    </xdr:to>
    <xdr:sp macro="" textlink="">
      <xdr:nvSpPr>
        <xdr:cNvPr id="1040" name="AutoShape 16" descr="Bildergebnis für wiensches verschiebungsgesetz"/>
        <xdr:cNvSpPr>
          <a:spLocks noChangeAspect="1" noChangeArrowheads="1"/>
        </xdr:cNvSpPr>
      </xdr:nvSpPr>
      <xdr:spPr bwMode="auto">
        <a:xfrm>
          <a:off x="4610100" y="107053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560</xdr:row>
      <xdr:rowOff>0</xdr:rowOff>
    </xdr:from>
    <xdr:to>
      <xdr:col>2</xdr:col>
      <xdr:colOff>304800</xdr:colOff>
      <xdr:row>561</xdr:row>
      <xdr:rowOff>121920</xdr:rowOff>
    </xdr:to>
    <xdr:sp macro="" textlink="">
      <xdr:nvSpPr>
        <xdr:cNvPr id="35" name="AutoShape 17" descr="Bildergebnis für wiensches verschiebungsgesetz"/>
        <xdr:cNvSpPr>
          <a:spLocks noChangeAspect="1" noChangeArrowheads="1"/>
        </xdr:cNvSpPr>
      </xdr:nvSpPr>
      <xdr:spPr bwMode="auto">
        <a:xfrm>
          <a:off x="4610100" y="1068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560</xdr:row>
      <xdr:rowOff>0</xdr:rowOff>
    </xdr:from>
    <xdr:to>
      <xdr:col>2</xdr:col>
      <xdr:colOff>304800</xdr:colOff>
      <xdr:row>561</xdr:row>
      <xdr:rowOff>121920</xdr:rowOff>
    </xdr:to>
    <xdr:sp macro="" textlink="">
      <xdr:nvSpPr>
        <xdr:cNvPr id="1042" name="AutoShape 18" descr="Bildergebnis für wiensches verschiebungsgesetz"/>
        <xdr:cNvSpPr>
          <a:spLocks noChangeAspect="1" noChangeArrowheads="1"/>
        </xdr:cNvSpPr>
      </xdr:nvSpPr>
      <xdr:spPr bwMode="auto">
        <a:xfrm>
          <a:off x="4610100" y="1068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304800</xdr:colOff>
      <xdr:row>560</xdr:row>
      <xdr:rowOff>121920</xdr:rowOff>
    </xdr:to>
    <xdr:sp macro="" textlink="">
      <xdr:nvSpPr>
        <xdr:cNvPr id="37" name="AutoShape 20" descr="Bildergebnis für wiensches verschiebungsgesetz"/>
        <xdr:cNvSpPr>
          <a:spLocks noChangeAspect="1" noChangeArrowheads="1"/>
        </xdr:cNvSpPr>
      </xdr:nvSpPr>
      <xdr:spPr bwMode="auto">
        <a:xfrm>
          <a:off x="53340" y="106687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392</xdr:row>
      <xdr:rowOff>0</xdr:rowOff>
    </xdr:from>
    <xdr:to>
      <xdr:col>10</xdr:col>
      <xdr:colOff>304800</xdr:colOff>
      <xdr:row>393</xdr:row>
      <xdr:rowOff>121920</xdr:rowOff>
    </xdr:to>
    <xdr:sp macro="" textlink="">
      <xdr:nvSpPr>
        <xdr:cNvPr id="25" name="AutoShape 2" descr="Bildergebnis für foto werner heisenberg"/>
        <xdr:cNvSpPr>
          <a:spLocks noChangeAspect="1" noChangeArrowheads="1"/>
        </xdr:cNvSpPr>
      </xdr:nvSpPr>
      <xdr:spPr bwMode="auto">
        <a:xfrm>
          <a:off x="10995660" y="7488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392</xdr:row>
      <xdr:rowOff>0</xdr:rowOff>
    </xdr:from>
    <xdr:to>
      <xdr:col>11</xdr:col>
      <xdr:colOff>304800</xdr:colOff>
      <xdr:row>393</xdr:row>
      <xdr:rowOff>121920</xdr:rowOff>
    </xdr:to>
    <xdr:sp macro="" textlink="">
      <xdr:nvSpPr>
        <xdr:cNvPr id="34" name="AutoShape 4" descr="Bildergebnis für foto werner heisenberg"/>
        <xdr:cNvSpPr>
          <a:spLocks noChangeAspect="1" noChangeArrowheads="1"/>
        </xdr:cNvSpPr>
      </xdr:nvSpPr>
      <xdr:spPr bwMode="auto">
        <a:xfrm>
          <a:off x="12702540" y="7488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392</xdr:row>
      <xdr:rowOff>0</xdr:rowOff>
    </xdr:from>
    <xdr:to>
      <xdr:col>10</xdr:col>
      <xdr:colOff>304800</xdr:colOff>
      <xdr:row>393</xdr:row>
      <xdr:rowOff>121920</xdr:rowOff>
    </xdr:to>
    <xdr:sp macro="" textlink="">
      <xdr:nvSpPr>
        <xdr:cNvPr id="39" name="AutoShape 6" descr="Werner Heisenberg | Biografie | Lebenslauf"/>
        <xdr:cNvSpPr>
          <a:spLocks noChangeAspect="1" noChangeArrowheads="1"/>
        </xdr:cNvSpPr>
      </xdr:nvSpPr>
      <xdr:spPr bwMode="auto">
        <a:xfrm>
          <a:off x="10995660" y="7488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1376978</xdr:colOff>
      <xdr:row>389</xdr:row>
      <xdr:rowOff>30480</xdr:rowOff>
    </xdr:from>
    <xdr:to>
      <xdr:col>6</xdr:col>
      <xdr:colOff>2468879</xdr:colOff>
      <xdr:row>395</xdr:row>
      <xdr:rowOff>99060</xdr:rowOff>
    </xdr:to>
    <xdr:pic>
      <xdr:nvPicPr>
        <xdr:cNvPr id="181" name="Grafik 180" descr="Werner Heisenberg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138" y="74576940"/>
          <a:ext cx="1091901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8</xdr:row>
      <xdr:rowOff>30480</xdr:rowOff>
    </xdr:from>
    <xdr:to>
      <xdr:col>10</xdr:col>
      <xdr:colOff>419100</xdr:colOff>
      <xdr:row>9</xdr:row>
      <xdr:rowOff>152400</xdr:rowOff>
    </xdr:to>
    <xdr:sp macro="" textlink="">
      <xdr:nvSpPr>
        <xdr:cNvPr id="7" name="AutoShape 1" descr="Albert Einstein - Wikipedia"/>
        <xdr:cNvSpPr>
          <a:spLocks noChangeAspect="1" noChangeArrowheads="1"/>
        </xdr:cNvSpPr>
      </xdr:nvSpPr>
      <xdr:spPr bwMode="auto">
        <a:xfrm>
          <a:off x="11109960" y="1516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1615000</xdr:colOff>
      <xdr:row>1</xdr:row>
      <xdr:rowOff>99402</xdr:rowOff>
    </xdr:from>
    <xdr:to>
      <xdr:col>6</xdr:col>
      <xdr:colOff>2781300</xdr:colOff>
      <xdr:row>9</xdr:row>
      <xdr:rowOff>160020</xdr:rowOff>
    </xdr:to>
    <xdr:pic>
      <xdr:nvPicPr>
        <xdr:cNvPr id="188" name="Grafik 187" descr="Albert Einstein - Wikipedia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160" y="297522"/>
          <a:ext cx="1166300" cy="1531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701040</xdr:colOff>
      <xdr:row>110</xdr:row>
      <xdr:rowOff>45720</xdr:rowOff>
    </xdr:from>
    <xdr:to>
      <xdr:col>6</xdr:col>
      <xdr:colOff>1242060</xdr:colOff>
      <xdr:row>111</xdr:row>
      <xdr:rowOff>167640</xdr:rowOff>
    </xdr:to>
    <xdr:pic>
      <xdr:nvPicPr>
        <xdr:cNvPr id="184" name="Grafik 183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20749260"/>
          <a:ext cx="54102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693420</xdr:colOff>
      <xdr:row>199</xdr:row>
      <xdr:rowOff>68580</xdr:rowOff>
    </xdr:from>
    <xdr:to>
      <xdr:col>6</xdr:col>
      <xdr:colOff>1508760</xdr:colOff>
      <xdr:row>201</xdr:row>
      <xdr:rowOff>152400</xdr:rowOff>
    </xdr:to>
    <xdr:pic>
      <xdr:nvPicPr>
        <xdr:cNvPr id="190" name="Grafik 189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580" y="37665660"/>
          <a:ext cx="81534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60959</xdr:colOff>
      <xdr:row>142</xdr:row>
      <xdr:rowOff>129540</xdr:rowOff>
    </xdr:from>
    <xdr:to>
      <xdr:col>1</xdr:col>
      <xdr:colOff>2724358</xdr:colOff>
      <xdr:row>148</xdr:row>
      <xdr:rowOff>99059</xdr:rowOff>
    </xdr:to>
    <xdr:pic>
      <xdr:nvPicPr>
        <xdr:cNvPr id="191" name="Grafik 190" descr="https://www.mpg.de/11617992/original-1508157761.jpg?t=eyJ3aWR0aCI6MTQwMCwib2JqX2lkIjoxMTYxNzk5Mn0%3D--54d7016d564d43da65b1a9727b184a52551af03a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7043380"/>
          <a:ext cx="2663399" cy="1127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975360</xdr:colOff>
      <xdr:row>231</xdr:row>
      <xdr:rowOff>175260</xdr:rowOff>
    </xdr:from>
    <xdr:to>
      <xdr:col>6</xdr:col>
      <xdr:colOff>2125980</xdr:colOff>
      <xdr:row>233</xdr:row>
      <xdr:rowOff>83820</xdr:rowOff>
    </xdr:to>
    <xdr:pic>
      <xdr:nvPicPr>
        <xdr:cNvPr id="244" name="Grafik 243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520" y="43891200"/>
          <a:ext cx="115062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982980</xdr:colOff>
      <xdr:row>233</xdr:row>
      <xdr:rowOff>106680</xdr:rowOff>
    </xdr:from>
    <xdr:to>
      <xdr:col>6</xdr:col>
      <xdr:colOff>1920240</xdr:colOff>
      <xdr:row>235</xdr:row>
      <xdr:rowOff>15240</xdr:rowOff>
    </xdr:to>
    <xdr:pic>
      <xdr:nvPicPr>
        <xdr:cNvPr id="250" name="Grafik 249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140" y="44218860"/>
          <a:ext cx="93726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807720</xdr:colOff>
      <xdr:row>229</xdr:row>
      <xdr:rowOff>76200</xdr:rowOff>
    </xdr:from>
    <xdr:to>
      <xdr:col>6</xdr:col>
      <xdr:colOff>2057400</xdr:colOff>
      <xdr:row>230</xdr:row>
      <xdr:rowOff>45720</xdr:rowOff>
    </xdr:to>
    <xdr:pic>
      <xdr:nvPicPr>
        <xdr:cNvPr id="201" name="Grafik 200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43647360"/>
          <a:ext cx="12496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998220</xdr:colOff>
      <xdr:row>230</xdr:row>
      <xdr:rowOff>53340</xdr:rowOff>
    </xdr:from>
    <xdr:to>
      <xdr:col>6</xdr:col>
      <xdr:colOff>2286000</xdr:colOff>
      <xdr:row>231</xdr:row>
      <xdr:rowOff>160020</xdr:rowOff>
    </xdr:to>
    <xdr:pic>
      <xdr:nvPicPr>
        <xdr:cNvPr id="202" name="Grafik 201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380" y="43822620"/>
          <a:ext cx="128778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407</xdr:row>
      <xdr:rowOff>38100</xdr:rowOff>
    </xdr:from>
    <xdr:to>
      <xdr:col>3</xdr:col>
      <xdr:colOff>762000</xdr:colOff>
      <xdr:row>408</xdr:row>
      <xdr:rowOff>167640</xdr:rowOff>
    </xdr:to>
    <xdr:pic>
      <xdr:nvPicPr>
        <xdr:cNvPr id="205" name="Grafik 204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7884020"/>
          <a:ext cx="9296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403860</xdr:colOff>
      <xdr:row>404</xdr:row>
      <xdr:rowOff>175260</xdr:rowOff>
    </xdr:from>
    <xdr:to>
      <xdr:col>3</xdr:col>
      <xdr:colOff>739140</xdr:colOff>
      <xdr:row>406</xdr:row>
      <xdr:rowOff>121920</xdr:rowOff>
    </xdr:to>
    <xdr:pic>
      <xdr:nvPicPr>
        <xdr:cNvPr id="208" name="Grafik 207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" y="77472540"/>
          <a:ext cx="8839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547</xdr:row>
      <xdr:rowOff>53340</xdr:rowOff>
    </xdr:from>
    <xdr:to>
      <xdr:col>1</xdr:col>
      <xdr:colOff>2851256</xdr:colOff>
      <xdr:row>552</xdr:row>
      <xdr:rowOff>175260</xdr:rowOff>
    </xdr:to>
    <xdr:pic>
      <xdr:nvPicPr>
        <xdr:cNvPr id="203" name="Grafik 202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04767380"/>
          <a:ext cx="2279756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502920</xdr:colOff>
      <xdr:row>527</xdr:row>
      <xdr:rowOff>61749</xdr:rowOff>
    </xdr:from>
    <xdr:to>
      <xdr:col>4</xdr:col>
      <xdr:colOff>38099</xdr:colOff>
      <xdr:row>534</xdr:row>
      <xdr:rowOff>114300</xdr:rowOff>
    </xdr:to>
    <xdr:pic>
      <xdr:nvPicPr>
        <xdr:cNvPr id="210" name="Grafik 209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101163909"/>
          <a:ext cx="937259" cy="132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3947160</xdr:colOff>
      <xdr:row>385</xdr:row>
      <xdr:rowOff>114300</xdr:rowOff>
    </xdr:from>
    <xdr:to>
      <xdr:col>2</xdr:col>
      <xdr:colOff>289560</xdr:colOff>
      <xdr:row>387</xdr:row>
      <xdr:rowOff>38100</xdr:rowOff>
    </xdr:to>
    <xdr:pic>
      <xdr:nvPicPr>
        <xdr:cNvPr id="197" name="Grafik 196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3814940"/>
          <a:ext cx="8991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175260</xdr:colOff>
      <xdr:row>349</xdr:row>
      <xdr:rowOff>129540</xdr:rowOff>
    </xdr:from>
    <xdr:to>
      <xdr:col>6</xdr:col>
      <xdr:colOff>1493520</xdr:colOff>
      <xdr:row>351</xdr:row>
      <xdr:rowOff>53340</xdr:rowOff>
    </xdr:to>
    <xdr:pic>
      <xdr:nvPicPr>
        <xdr:cNvPr id="196" name="Grafik 195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66995040"/>
          <a:ext cx="13182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845820</xdr:colOff>
      <xdr:row>353</xdr:row>
      <xdr:rowOff>83820</xdr:rowOff>
    </xdr:from>
    <xdr:to>
      <xdr:col>6</xdr:col>
      <xdr:colOff>1722120</xdr:colOff>
      <xdr:row>354</xdr:row>
      <xdr:rowOff>190500</xdr:rowOff>
    </xdr:to>
    <xdr:pic>
      <xdr:nvPicPr>
        <xdr:cNvPr id="211" name="Grafik 210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0980" y="67696080"/>
          <a:ext cx="8763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1844040</xdr:colOff>
      <xdr:row>349</xdr:row>
      <xdr:rowOff>60960</xdr:rowOff>
    </xdr:from>
    <xdr:to>
      <xdr:col>6</xdr:col>
      <xdr:colOff>2674620</xdr:colOff>
      <xdr:row>351</xdr:row>
      <xdr:rowOff>144780</xdr:rowOff>
    </xdr:to>
    <xdr:pic>
      <xdr:nvPicPr>
        <xdr:cNvPr id="212" name="Grafik 211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6926460"/>
          <a:ext cx="8305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739140</xdr:colOff>
      <xdr:row>433</xdr:row>
      <xdr:rowOff>53340</xdr:rowOff>
    </xdr:from>
    <xdr:to>
      <xdr:col>6</xdr:col>
      <xdr:colOff>1813560</xdr:colOff>
      <xdr:row>434</xdr:row>
      <xdr:rowOff>167640</xdr:rowOff>
    </xdr:to>
    <xdr:pic>
      <xdr:nvPicPr>
        <xdr:cNvPr id="215" name="Grafik 214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82905600"/>
          <a:ext cx="1074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47</xdr:row>
      <xdr:rowOff>68580</xdr:rowOff>
    </xdr:from>
    <xdr:to>
      <xdr:col>6</xdr:col>
      <xdr:colOff>716280</xdr:colOff>
      <xdr:row>48</xdr:row>
      <xdr:rowOff>152400</xdr:rowOff>
    </xdr:to>
    <xdr:pic>
      <xdr:nvPicPr>
        <xdr:cNvPr id="217" name="Grafik 216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8755380"/>
          <a:ext cx="29718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1341120</xdr:colOff>
      <xdr:row>47</xdr:row>
      <xdr:rowOff>114300</xdr:rowOff>
    </xdr:from>
    <xdr:to>
      <xdr:col>6</xdr:col>
      <xdr:colOff>1844040</xdr:colOff>
      <xdr:row>48</xdr:row>
      <xdr:rowOff>83820</xdr:rowOff>
    </xdr:to>
    <xdr:pic>
      <xdr:nvPicPr>
        <xdr:cNvPr id="219" name="Grafik 218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6280" y="8801100"/>
          <a:ext cx="5029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3505200</xdr:colOff>
      <xdr:row>345</xdr:row>
      <xdr:rowOff>182880</xdr:rowOff>
    </xdr:from>
    <xdr:to>
      <xdr:col>1</xdr:col>
      <xdr:colOff>4511040</xdr:colOff>
      <xdr:row>347</xdr:row>
      <xdr:rowOff>68580</xdr:rowOff>
    </xdr:to>
    <xdr:pic>
      <xdr:nvPicPr>
        <xdr:cNvPr id="194" name="Grafik 193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66202560"/>
          <a:ext cx="10058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2979420</xdr:colOff>
      <xdr:row>341</xdr:row>
      <xdr:rowOff>121920</xdr:rowOff>
    </xdr:from>
    <xdr:to>
      <xdr:col>1</xdr:col>
      <xdr:colOff>4053840</xdr:colOff>
      <xdr:row>343</xdr:row>
      <xdr:rowOff>30480</xdr:rowOff>
    </xdr:to>
    <xdr:pic>
      <xdr:nvPicPr>
        <xdr:cNvPr id="204" name="Grafik 203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65272920"/>
          <a:ext cx="1074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1013460</xdr:colOff>
      <xdr:row>357</xdr:row>
      <xdr:rowOff>53340</xdr:rowOff>
    </xdr:from>
    <xdr:to>
      <xdr:col>6</xdr:col>
      <xdr:colOff>1668780</xdr:colOff>
      <xdr:row>358</xdr:row>
      <xdr:rowOff>182880</xdr:rowOff>
    </xdr:to>
    <xdr:pic>
      <xdr:nvPicPr>
        <xdr:cNvPr id="224" name="Grafik 223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68557140"/>
          <a:ext cx="6553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693420</xdr:colOff>
      <xdr:row>168</xdr:row>
      <xdr:rowOff>30480</xdr:rowOff>
    </xdr:from>
    <xdr:to>
      <xdr:col>6</xdr:col>
      <xdr:colOff>1912620</xdr:colOff>
      <xdr:row>170</xdr:row>
      <xdr:rowOff>114300</xdr:rowOff>
    </xdr:to>
    <xdr:pic>
      <xdr:nvPicPr>
        <xdr:cNvPr id="206" name="Grafik 205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580" y="31874460"/>
          <a:ext cx="12192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189334</xdr:colOff>
      <xdr:row>304</xdr:row>
      <xdr:rowOff>30479</xdr:rowOff>
    </xdr:from>
    <xdr:to>
      <xdr:col>1</xdr:col>
      <xdr:colOff>1600200</xdr:colOff>
      <xdr:row>309</xdr:row>
      <xdr:rowOff>173288</xdr:rowOff>
    </xdr:to>
    <xdr:pic>
      <xdr:nvPicPr>
        <xdr:cNvPr id="213" name="Grafik 212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74" y="58224419"/>
          <a:ext cx="1410866" cy="1057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739140</xdr:colOff>
      <xdr:row>202</xdr:row>
      <xdr:rowOff>60960</xdr:rowOff>
    </xdr:from>
    <xdr:to>
      <xdr:col>6</xdr:col>
      <xdr:colOff>2026920</xdr:colOff>
      <xdr:row>204</xdr:row>
      <xdr:rowOff>144780</xdr:rowOff>
    </xdr:to>
    <xdr:pic>
      <xdr:nvPicPr>
        <xdr:cNvPr id="185" name="Grafik 184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38374320"/>
          <a:ext cx="12877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1013460</xdr:colOff>
      <xdr:row>363</xdr:row>
      <xdr:rowOff>30480</xdr:rowOff>
    </xdr:from>
    <xdr:to>
      <xdr:col>6</xdr:col>
      <xdr:colOff>1607820</xdr:colOff>
      <xdr:row>364</xdr:row>
      <xdr:rowOff>7620</xdr:rowOff>
    </xdr:to>
    <xdr:pic>
      <xdr:nvPicPr>
        <xdr:cNvPr id="228" name="Grafik 227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69700140"/>
          <a:ext cx="5943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541020</xdr:colOff>
      <xdr:row>97</xdr:row>
      <xdr:rowOff>23561</xdr:rowOff>
    </xdr:from>
    <xdr:to>
      <xdr:col>1</xdr:col>
      <xdr:colOff>2209800</xdr:colOff>
      <xdr:row>102</xdr:row>
      <xdr:rowOff>38405</xdr:rowOff>
    </xdr:to>
    <xdr:pic>
      <xdr:nvPicPr>
        <xdr:cNvPr id="207" name="Grafik 206" descr="Newtonsches Gravitationsgesetz – Wikipedia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8235361"/>
          <a:ext cx="1668780" cy="104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1653540</xdr:colOff>
      <xdr:row>191</xdr:row>
      <xdr:rowOff>38100</xdr:rowOff>
    </xdr:from>
    <xdr:to>
      <xdr:col>6</xdr:col>
      <xdr:colOff>2308860</xdr:colOff>
      <xdr:row>193</xdr:row>
      <xdr:rowOff>129540</xdr:rowOff>
    </xdr:to>
    <xdr:pic>
      <xdr:nvPicPr>
        <xdr:cNvPr id="187" name="Grafik 186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6240720"/>
          <a:ext cx="65532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1051560</xdr:colOff>
      <xdr:row>365</xdr:row>
      <xdr:rowOff>45720</xdr:rowOff>
    </xdr:from>
    <xdr:to>
      <xdr:col>6</xdr:col>
      <xdr:colOff>1508760</xdr:colOff>
      <xdr:row>366</xdr:row>
      <xdr:rowOff>152400</xdr:rowOff>
    </xdr:to>
    <xdr:pic>
      <xdr:nvPicPr>
        <xdr:cNvPr id="222" name="Grafik 221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70157340"/>
          <a:ext cx="4572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822960</xdr:colOff>
      <xdr:row>24</xdr:row>
      <xdr:rowOff>106680</xdr:rowOff>
    </xdr:from>
    <xdr:to>
      <xdr:col>6</xdr:col>
      <xdr:colOff>2606040</xdr:colOff>
      <xdr:row>26</xdr:row>
      <xdr:rowOff>99060</xdr:rowOff>
    </xdr:to>
    <xdr:pic>
      <xdr:nvPicPr>
        <xdr:cNvPr id="264" name="Grafik 263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4648200"/>
          <a:ext cx="361950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617220</xdr:colOff>
      <xdr:row>24</xdr:row>
      <xdr:rowOff>45720</xdr:rowOff>
    </xdr:from>
    <xdr:to>
      <xdr:col>1</xdr:col>
      <xdr:colOff>1630680</xdr:colOff>
      <xdr:row>25</xdr:row>
      <xdr:rowOff>22860</xdr:rowOff>
    </xdr:to>
    <xdr:pic>
      <xdr:nvPicPr>
        <xdr:cNvPr id="265" name="Grafik 264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4587240"/>
          <a:ext cx="10134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167640</xdr:colOff>
      <xdr:row>25</xdr:row>
      <xdr:rowOff>7620</xdr:rowOff>
    </xdr:from>
    <xdr:to>
      <xdr:col>1</xdr:col>
      <xdr:colOff>1943100</xdr:colOff>
      <xdr:row>26</xdr:row>
      <xdr:rowOff>152400</xdr:rowOff>
    </xdr:to>
    <xdr:pic>
      <xdr:nvPicPr>
        <xdr:cNvPr id="266" name="Grafik 265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739640"/>
          <a:ext cx="17754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3665220</xdr:colOff>
      <xdr:row>25</xdr:row>
      <xdr:rowOff>0</xdr:rowOff>
    </xdr:from>
    <xdr:to>
      <xdr:col>3</xdr:col>
      <xdr:colOff>662940</xdr:colOff>
      <xdr:row>25</xdr:row>
      <xdr:rowOff>167640</xdr:rowOff>
    </xdr:to>
    <xdr:pic>
      <xdr:nvPicPr>
        <xdr:cNvPr id="182" name="Grafik 181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4732020"/>
          <a:ext cx="21031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198120</xdr:colOff>
      <xdr:row>52</xdr:row>
      <xdr:rowOff>15240</xdr:rowOff>
    </xdr:from>
    <xdr:to>
      <xdr:col>6</xdr:col>
      <xdr:colOff>868680</xdr:colOff>
      <xdr:row>53</xdr:row>
      <xdr:rowOff>190500</xdr:rowOff>
    </xdr:to>
    <xdr:pic>
      <xdr:nvPicPr>
        <xdr:cNvPr id="183" name="Grafik 182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9677400"/>
          <a:ext cx="67056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1371600</xdr:colOff>
      <xdr:row>52</xdr:row>
      <xdr:rowOff>53340</xdr:rowOff>
    </xdr:from>
    <xdr:to>
      <xdr:col>6</xdr:col>
      <xdr:colOff>1684020</xdr:colOff>
      <xdr:row>53</xdr:row>
      <xdr:rowOff>175260</xdr:rowOff>
    </xdr:to>
    <xdr:pic>
      <xdr:nvPicPr>
        <xdr:cNvPr id="186" name="Grafik 185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760" y="971550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2278380</xdr:colOff>
      <xdr:row>52</xdr:row>
      <xdr:rowOff>38100</xdr:rowOff>
    </xdr:from>
    <xdr:to>
      <xdr:col>6</xdr:col>
      <xdr:colOff>2575560</xdr:colOff>
      <xdr:row>53</xdr:row>
      <xdr:rowOff>175260</xdr:rowOff>
    </xdr:to>
    <xdr:pic>
      <xdr:nvPicPr>
        <xdr:cNvPr id="216" name="Grafik 215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3540" y="9700260"/>
          <a:ext cx="2971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2682240</xdr:colOff>
      <xdr:row>343</xdr:row>
      <xdr:rowOff>198120</xdr:rowOff>
    </xdr:from>
    <xdr:to>
      <xdr:col>1</xdr:col>
      <xdr:colOff>3017520</xdr:colOff>
      <xdr:row>345</xdr:row>
      <xdr:rowOff>45720</xdr:rowOff>
    </xdr:to>
    <xdr:pic>
      <xdr:nvPicPr>
        <xdr:cNvPr id="193" name="Grafik 192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580" y="65676780"/>
          <a:ext cx="33528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3550920</xdr:colOff>
      <xdr:row>344</xdr:row>
      <xdr:rowOff>60960</xdr:rowOff>
    </xdr:from>
    <xdr:to>
      <xdr:col>1</xdr:col>
      <xdr:colOff>4015740</xdr:colOff>
      <xdr:row>344</xdr:row>
      <xdr:rowOff>228600</xdr:rowOff>
    </xdr:to>
    <xdr:pic>
      <xdr:nvPicPr>
        <xdr:cNvPr id="218" name="Grafik 217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65745360"/>
          <a:ext cx="4648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960120</xdr:colOff>
      <xdr:row>360</xdr:row>
      <xdr:rowOff>22860</xdr:rowOff>
    </xdr:from>
    <xdr:to>
      <xdr:col>6</xdr:col>
      <xdr:colOff>1767840</xdr:colOff>
      <xdr:row>361</xdr:row>
      <xdr:rowOff>205740</xdr:rowOff>
    </xdr:to>
    <xdr:pic>
      <xdr:nvPicPr>
        <xdr:cNvPr id="223" name="Grafik 222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69006720"/>
          <a:ext cx="80772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2141220</xdr:colOff>
      <xdr:row>24</xdr:row>
      <xdr:rowOff>121920</xdr:rowOff>
    </xdr:from>
    <xdr:to>
      <xdr:col>1</xdr:col>
      <xdr:colOff>3543300</xdr:colOff>
      <xdr:row>26</xdr:row>
      <xdr:rowOff>114300</xdr:rowOff>
    </xdr:to>
    <xdr:pic>
      <xdr:nvPicPr>
        <xdr:cNvPr id="225" name="Grafik 224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4572000"/>
          <a:ext cx="140208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438064</xdr:colOff>
      <xdr:row>3</xdr:row>
      <xdr:rowOff>36843</xdr:rowOff>
    </xdr:from>
    <xdr:to>
      <xdr:col>4</xdr:col>
      <xdr:colOff>266700</xdr:colOff>
      <xdr:row>11</xdr:row>
      <xdr:rowOff>60960</xdr:rowOff>
    </xdr:to>
    <xdr:pic>
      <xdr:nvPicPr>
        <xdr:cNvPr id="6" name="Picture 6" descr="https://upload.wikimedia.org/wikipedia/commons/thumb/6/6d/Niels_Bohr.jpg/220px-Niels_Boh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0084" y="615963"/>
          <a:ext cx="1169756" cy="14795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185895</xdr:colOff>
      <xdr:row>14</xdr:row>
      <xdr:rowOff>104775</xdr:rowOff>
    </xdr:from>
    <xdr:to>
      <xdr:col>5</xdr:col>
      <xdr:colOff>281939</xdr:colOff>
      <xdr:row>23</xdr:row>
      <xdr:rowOff>36195</xdr:rowOff>
    </xdr:to>
    <xdr:pic>
      <xdr:nvPicPr>
        <xdr:cNvPr id="1031" name="Picture 7" descr="https://upload.wikimedia.org/wikipedia/commons/thumb/5/55/Bohr-atom-PAR.svg/220px-Bohr-atom-PAR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7915" y="2718435"/>
          <a:ext cx="1924844" cy="16306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175260</xdr:colOff>
      <xdr:row>90</xdr:row>
      <xdr:rowOff>2850</xdr:rowOff>
    </xdr:from>
    <xdr:to>
      <xdr:col>1</xdr:col>
      <xdr:colOff>3870960</xdr:colOff>
      <xdr:row>108</xdr:row>
      <xdr:rowOff>82611</xdr:rowOff>
    </xdr:to>
    <xdr:pic>
      <xdr:nvPicPr>
        <xdr:cNvPr id="1044" name="Picture 20" descr="http://hydrogen.physik.uni-wuppertal.de/hyperphysics/hyperphysics/hbase/imgmod/hydspe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3360" y="16637310"/>
          <a:ext cx="3695700" cy="32954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752475</xdr:colOff>
      <xdr:row>102</xdr:row>
      <xdr:rowOff>104775</xdr:rowOff>
    </xdr:from>
    <xdr:to>
      <xdr:col>6</xdr:col>
      <xdr:colOff>2781300</xdr:colOff>
      <xdr:row>108</xdr:row>
      <xdr:rowOff>34487</xdr:rowOff>
    </xdr:to>
    <xdr:pic>
      <xdr:nvPicPr>
        <xdr:cNvPr id="5" name="Picture 2" descr="&#10;\begin{array}{|c|c|c|}&#10;\hline&#10; \text{Name der Serie} &amp;#38; n &amp;#38; m\\&#10;\hline&#10;\text{1. Lyman-Serie} &amp;#38; 1 &amp;#38; 2,3,4,\dots\\&#10;\text{2. Balmer-Serie} &amp;#38; 2 &amp;#38; 3,4,5,\dots\\&#10;\text{3. Paschen-Serie} &amp;#38; 3 &amp;#38; 4,5,6,\dots\\&#10;\text{4. Brackett-Serie} &amp;#38; 4 &amp;#38; 5,6,7,\dots\\&#10;\text{5. Pfund-Serie} &amp;#38; 5 &amp;#38; 6,7,8,\dots\\&#10;\hline&#10;\end{array}&#10;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19975" y="19621500"/>
          <a:ext cx="2028825" cy="107271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</xdr:colOff>
      <xdr:row>100</xdr:row>
      <xdr:rowOff>1</xdr:rowOff>
    </xdr:from>
    <xdr:to>
      <xdr:col>6</xdr:col>
      <xdr:colOff>517277</xdr:colOff>
      <xdr:row>113</xdr:row>
      <xdr:rowOff>116205</xdr:rowOff>
    </xdr:to>
    <xdr:pic>
      <xdr:nvPicPr>
        <xdr:cNvPr id="9" name="Picture 4" descr="Die Spektrallinien des Wasserstoffs werden durch ein Gitter aufgelö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255895" y="18425161"/>
          <a:ext cx="2149862" cy="24479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200025</xdr:colOff>
      <xdr:row>183</xdr:row>
      <xdr:rowOff>57150</xdr:rowOff>
    </xdr:from>
    <xdr:to>
      <xdr:col>1</xdr:col>
      <xdr:colOff>1657350</xdr:colOff>
      <xdr:row>190</xdr:row>
      <xdr:rowOff>152401</xdr:rowOff>
    </xdr:to>
    <xdr:pic>
      <xdr:nvPicPr>
        <xdr:cNvPr id="4" name="Picture 1" descr="https://www.uni-ulm.de/fileadmin/website_uni_ulm/nawi.inst.251/Didactics/quantenchemie/grafik/12Schrod/stehWell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27832050"/>
          <a:ext cx="1457325" cy="14573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323852</xdr:colOff>
      <xdr:row>171</xdr:row>
      <xdr:rowOff>142875</xdr:rowOff>
    </xdr:from>
    <xdr:to>
      <xdr:col>4</xdr:col>
      <xdr:colOff>211297</xdr:colOff>
      <xdr:row>179</xdr:row>
      <xdr:rowOff>7619</xdr:rowOff>
    </xdr:to>
    <xdr:pic>
      <xdr:nvPicPr>
        <xdr:cNvPr id="12" name="Picture 3" descr="Erwin Schrödinger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91077" y="32966025"/>
          <a:ext cx="1192370" cy="138112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333375</xdr:colOff>
      <xdr:row>162</xdr:row>
      <xdr:rowOff>38100</xdr:rowOff>
    </xdr:from>
    <xdr:to>
      <xdr:col>6</xdr:col>
      <xdr:colOff>2637334</xdr:colOff>
      <xdr:row>172</xdr:row>
      <xdr:rowOff>143994</xdr:rowOff>
    </xdr:to>
    <xdr:pic>
      <xdr:nvPicPr>
        <xdr:cNvPr id="2051" name="Picture 3" descr="PIC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894195" y="30007560"/>
          <a:ext cx="2639239" cy="18737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43815</xdr:colOff>
      <xdr:row>233</xdr:row>
      <xdr:rowOff>91440</xdr:rowOff>
    </xdr:from>
    <xdr:to>
      <xdr:col>1</xdr:col>
      <xdr:colOff>4612994</xdr:colOff>
      <xdr:row>256</xdr:row>
      <xdr:rowOff>95913</xdr:rowOff>
    </xdr:to>
    <xdr:pic>
      <xdr:nvPicPr>
        <xdr:cNvPr id="10" name="Picture 1" descr="Ähnliches Fot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1915" y="43136820"/>
          <a:ext cx="4569179" cy="424119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329089</xdr:colOff>
      <xdr:row>29</xdr:row>
      <xdr:rowOff>0</xdr:rowOff>
    </xdr:from>
    <xdr:to>
      <xdr:col>4</xdr:col>
      <xdr:colOff>438150</xdr:colOff>
      <xdr:row>35</xdr:row>
      <xdr:rowOff>60960</xdr:rowOff>
    </xdr:to>
    <xdr:pic>
      <xdr:nvPicPr>
        <xdr:cNvPr id="16" name="Picture 1" descr="https://www.uni-ulm.de/fileadmin/website_uni_ulm/nawi.inst.251/Didactics/quantenchemie/grafik/12Schrod/Widerspr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61109" y="5478780"/>
          <a:ext cx="1450181" cy="11506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174</xdr:row>
      <xdr:rowOff>128111</xdr:rowOff>
    </xdr:from>
    <xdr:to>
      <xdr:col>6</xdr:col>
      <xdr:colOff>2956560</xdr:colOff>
      <xdr:row>184</xdr:row>
      <xdr:rowOff>166830</xdr:rowOff>
    </xdr:to>
    <xdr:pic>
      <xdr:nvPicPr>
        <xdr:cNvPr id="2056" name="Picture 1" descr="Potentialtopf mit quadratischen stehenden Wellen und Energieniveaus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41820" y="32269271"/>
          <a:ext cx="2918460" cy="184465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1247775</xdr:colOff>
      <xdr:row>327</xdr:row>
      <xdr:rowOff>177379</xdr:rowOff>
    </xdr:from>
    <xdr:to>
      <xdr:col>6</xdr:col>
      <xdr:colOff>2746682</xdr:colOff>
      <xdr:row>334</xdr:row>
      <xdr:rowOff>47625</xdr:rowOff>
    </xdr:to>
    <xdr:pic>
      <xdr:nvPicPr>
        <xdr:cNvPr id="22" name="Picture 1" descr="Bildergebnis für murray gell-man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15275" y="63261454"/>
          <a:ext cx="1498907" cy="136567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83821</xdr:colOff>
      <xdr:row>363</xdr:row>
      <xdr:rowOff>73025</xdr:rowOff>
    </xdr:from>
    <xdr:to>
      <xdr:col>1</xdr:col>
      <xdr:colOff>2992191</xdr:colOff>
      <xdr:row>368</xdr:row>
      <xdr:rowOff>101773</xdr:rowOff>
    </xdr:to>
    <xdr:pic>
      <xdr:nvPicPr>
        <xdr:cNvPr id="2058" name="Picture 1" descr="Anti-Wasserstoff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1921" y="67875785"/>
          <a:ext cx="2908370" cy="92790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322</xdr:row>
      <xdr:rowOff>182880</xdr:rowOff>
    </xdr:from>
    <xdr:to>
      <xdr:col>1</xdr:col>
      <xdr:colOff>3401255</xdr:colOff>
      <xdr:row>338</xdr:row>
      <xdr:rowOff>183278</xdr:rowOff>
    </xdr:to>
    <xdr:pic>
      <xdr:nvPicPr>
        <xdr:cNvPr id="2060" name="Picture 1" descr="https://upload.wikimedia.org/wikipedia/commons/thumb/1/1c/Standard_Model_of_Elementary_Particles-de.svg/720px-Standard_Model_of_Elementary_Particles-de.svg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59908440"/>
          <a:ext cx="3439355" cy="323127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1962177</xdr:colOff>
      <xdr:row>374</xdr:row>
      <xdr:rowOff>15240</xdr:rowOff>
    </xdr:from>
    <xdr:to>
      <xdr:col>1</xdr:col>
      <xdr:colOff>3451860</xdr:colOff>
      <xdr:row>381</xdr:row>
      <xdr:rowOff>158834</xdr:rowOff>
    </xdr:to>
    <xdr:pic>
      <xdr:nvPicPr>
        <xdr:cNvPr id="2061" name="Picture 1" descr="Der sogenannte Spin ist eine grundlegende quantenmechanische Eigenschaft von Elektronen. Er lässt sich mit einem Magnetfeld ausrichten.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77" y="69776340"/>
          <a:ext cx="1489683" cy="1400894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415</xdr:row>
      <xdr:rowOff>0</xdr:rowOff>
    </xdr:from>
    <xdr:to>
      <xdr:col>9</xdr:col>
      <xdr:colOff>190500</xdr:colOff>
      <xdr:row>416</xdr:row>
      <xdr:rowOff>85725</xdr:rowOff>
    </xdr:to>
    <xdr:sp macro="" textlink="">
      <xdr:nvSpPr>
        <xdr:cNvPr id="2063" name="AutoShape 1" descr="Bildergebnis für Photon + Bilder"/>
        <xdr:cNvSpPr>
          <a:spLocks noChangeAspect="1" noChangeArrowheads="1"/>
        </xdr:cNvSpPr>
      </xdr:nvSpPr>
      <xdr:spPr bwMode="auto">
        <a:xfrm>
          <a:off x="10410825" y="7991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28575</xdr:colOff>
      <xdr:row>415</xdr:row>
      <xdr:rowOff>28575</xdr:rowOff>
    </xdr:from>
    <xdr:to>
      <xdr:col>1</xdr:col>
      <xdr:colOff>899844</xdr:colOff>
      <xdr:row>420</xdr:row>
      <xdr:rowOff>180975</xdr:rowOff>
    </xdr:to>
    <xdr:pic>
      <xdr:nvPicPr>
        <xdr:cNvPr id="2064" name="Picture 3" descr="Bildergebnis für Photon + Bilder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79819500"/>
          <a:ext cx="871269" cy="1133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2446020</xdr:colOff>
      <xdr:row>407</xdr:row>
      <xdr:rowOff>30241</xdr:rowOff>
    </xdr:from>
    <xdr:to>
      <xdr:col>1</xdr:col>
      <xdr:colOff>4221480</xdr:colOff>
      <xdr:row>414</xdr:row>
      <xdr:rowOff>22858</xdr:rowOff>
    </xdr:to>
    <xdr:pic>
      <xdr:nvPicPr>
        <xdr:cNvPr id="2065" name="Picture 4" descr="Bildergebnis für Graviton + Bilder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84120" y="75933061"/>
          <a:ext cx="1775460" cy="127277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752475</xdr:colOff>
      <xdr:row>423</xdr:row>
      <xdr:rowOff>123879</xdr:rowOff>
    </xdr:from>
    <xdr:to>
      <xdr:col>1</xdr:col>
      <xdr:colOff>3714750</xdr:colOff>
      <xdr:row>429</xdr:row>
      <xdr:rowOff>180974</xdr:rowOff>
    </xdr:to>
    <xdr:pic>
      <xdr:nvPicPr>
        <xdr:cNvPr id="2068" name="Picture 7" descr="Bildergebnis für alpha beta gamma strahlung + Bilder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52475" y="81515004"/>
          <a:ext cx="2962275" cy="12572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1805940</xdr:colOff>
      <xdr:row>442</xdr:row>
      <xdr:rowOff>60960</xdr:rowOff>
    </xdr:from>
    <xdr:to>
      <xdr:col>1</xdr:col>
      <xdr:colOff>2920365</xdr:colOff>
      <xdr:row>448</xdr:row>
      <xdr:rowOff>32385</xdr:rowOff>
    </xdr:to>
    <xdr:pic>
      <xdr:nvPicPr>
        <xdr:cNvPr id="2071" name="img140_52074" descr="CQMProton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844040" y="81633060"/>
          <a:ext cx="1114425" cy="1076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342901</xdr:colOff>
      <xdr:row>433</xdr:row>
      <xdr:rowOff>66678</xdr:rowOff>
    </xdr:from>
    <xdr:to>
      <xdr:col>1</xdr:col>
      <xdr:colOff>1485897</xdr:colOff>
      <xdr:row>439</xdr:row>
      <xdr:rowOff>66676</xdr:rowOff>
    </xdr:to>
    <xdr:pic>
      <xdr:nvPicPr>
        <xdr:cNvPr id="2073" name="img23_52074" descr="CQMProton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2901" y="83172303"/>
          <a:ext cx="1142996" cy="11429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3232785</xdr:colOff>
      <xdr:row>433</xdr:row>
      <xdr:rowOff>80010</xdr:rowOff>
    </xdr:from>
    <xdr:to>
      <xdr:col>1</xdr:col>
      <xdr:colOff>4385309</xdr:colOff>
      <xdr:row>439</xdr:row>
      <xdr:rowOff>89534</xdr:rowOff>
    </xdr:to>
    <xdr:pic>
      <xdr:nvPicPr>
        <xdr:cNvPr id="2070" name="Picture 4" descr="Datei:Quark structure neutron.sv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70885" y="79983330"/>
          <a:ext cx="1152524" cy="110680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1908087</xdr:colOff>
      <xdr:row>436</xdr:row>
      <xdr:rowOff>1906</xdr:rowOff>
    </xdr:from>
    <xdr:to>
      <xdr:col>1</xdr:col>
      <xdr:colOff>2806156</xdr:colOff>
      <xdr:row>440</xdr:row>
      <xdr:rowOff>80009</xdr:rowOff>
    </xdr:to>
    <xdr:pic>
      <xdr:nvPicPr>
        <xdr:cNvPr id="2072" name="Picture 5" descr="https://upload.wikimedia.org/wikipedia/commons/thumb/e/e0/Synthese%2B.svg/220px-Synthese%2B.svg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46187" y="80453866"/>
          <a:ext cx="898069" cy="82486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714376</xdr:colOff>
      <xdr:row>218</xdr:row>
      <xdr:rowOff>16740</xdr:rowOff>
    </xdr:from>
    <xdr:to>
      <xdr:col>1</xdr:col>
      <xdr:colOff>3952876</xdr:colOff>
      <xdr:row>228</xdr:row>
      <xdr:rowOff>91511</xdr:rowOff>
    </xdr:to>
    <xdr:pic>
      <xdr:nvPicPr>
        <xdr:cNvPr id="15" name="Picture 2" descr="https://upload.wikimedia.org/wikipedia/commons/thumb/9/9b/AOs-3D-dots.png/400px-AOs-3D-dots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14376" y="41802915"/>
          <a:ext cx="3238500" cy="178927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2819400</xdr:colOff>
      <xdr:row>207</xdr:row>
      <xdr:rowOff>88497</xdr:rowOff>
    </xdr:from>
    <xdr:to>
      <xdr:col>1</xdr:col>
      <xdr:colOff>4419599</xdr:colOff>
      <xdr:row>217</xdr:row>
      <xdr:rowOff>123825</xdr:rowOff>
    </xdr:to>
    <xdr:pic>
      <xdr:nvPicPr>
        <xdr:cNvPr id="2075" name="Picture 4" descr="https://upload.wikimedia.org/wikipedia/commons/thumb/0/00/Orbital_s1.png/220px-Orbital_s1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19400" y="39750597"/>
          <a:ext cx="1600199" cy="197842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285750</xdr:colOff>
      <xdr:row>196</xdr:row>
      <xdr:rowOff>7492</xdr:rowOff>
    </xdr:from>
    <xdr:to>
      <xdr:col>6</xdr:col>
      <xdr:colOff>2809874</xdr:colOff>
      <xdr:row>197</xdr:row>
      <xdr:rowOff>166634</xdr:rowOff>
    </xdr:to>
    <xdr:pic>
      <xdr:nvPicPr>
        <xdr:cNvPr id="3" name="Picture 1" descr="https://www.uni-ulm.de/fileadmin/website_uni_ulm/nawi.inst.251/Didactics/quantenchemie/grafik/Formeln/11-12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962775" y="37383592"/>
          <a:ext cx="2524124" cy="36869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199</xdr:row>
      <xdr:rowOff>34201</xdr:rowOff>
    </xdr:from>
    <xdr:to>
      <xdr:col>6</xdr:col>
      <xdr:colOff>2695576</xdr:colOff>
      <xdr:row>200</xdr:row>
      <xdr:rowOff>190500</xdr:rowOff>
    </xdr:to>
    <xdr:pic>
      <xdr:nvPicPr>
        <xdr:cNvPr id="2067" name="Picture 2" descr="https://www.uni-ulm.de/fileadmin/website_uni_ulm/nawi.inst.251/Didactics/quantenchemie/grafik/Formeln/11-15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077075" y="38134201"/>
          <a:ext cx="2295526" cy="36584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9</xdr:col>
      <xdr:colOff>190500</xdr:colOff>
      <xdr:row>362</xdr:row>
      <xdr:rowOff>85725</xdr:rowOff>
    </xdr:to>
    <xdr:sp macro="" textlink="">
      <xdr:nvSpPr>
        <xdr:cNvPr id="2078" name="AutoShape 3" descr="Bildergebnis für Proton Neutron bilder"/>
        <xdr:cNvSpPr>
          <a:spLocks noChangeAspect="1" noChangeArrowheads="1"/>
        </xdr:cNvSpPr>
      </xdr:nvSpPr>
      <xdr:spPr bwMode="auto">
        <a:xfrm>
          <a:off x="9648825" y="69665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491489</xdr:colOff>
      <xdr:row>356</xdr:row>
      <xdr:rowOff>145837</xdr:rowOff>
    </xdr:from>
    <xdr:to>
      <xdr:col>1</xdr:col>
      <xdr:colOff>2554178</xdr:colOff>
      <xdr:row>362</xdr:row>
      <xdr:rowOff>121920</xdr:rowOff>
    </xdr:to>
    <xdr:pic>
      <xdr:nvPicPr>
        <xdr:cNvPr id="2079" name="Picture 4" descr="Fig. 1: An oversimplified vision of protons as made from two up quarks and a down quark, and neutrons as made from two down quarks and an up quark --- and nothing else.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29589" y="66637957"/>
          <a:ext cx="2062689" cy="11038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66676</xdr:colOff>
      <xdr:row>448</xdr:row>
      <xdr:rowOff>93822</xdr:rowOff>
    </xdr:from>
    <xdr:to>
      <xdr:col>1</xdr:col>
      <xdr:colOff>1801284</xdr:colOff>
      <xdr:row>458</xdr:row>
      <xdr:rowOff>104777</xdr:rowOff>
    </xdr:to>
    <xdr:pic>
      <xdr:nvPicPr>
        <xdr:cNvPr id="18" name="Picture 1" descr="Bildergebnis für gut große vereinheitlichte theorie Kopplungsstärke bilder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6" y="86066472"/>
          <a:ext cx="1734608" cy="19159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15241</xdr:colOff>
      <xdr:row>479</xdr:row>
      <xdr:rowOff>76199</xdr:rowOff>
    </xdr:from>
    <xdr:to>
      <xdr:col>7</xdr:col>
      <xdr:colOff>10707</xdr:colOff>
      <xdr:row>492</xdr:row>
      <xdr:rowOff>25284</xdr:rowOff>
    </xdr:to>
    <xdr:pic>
      <xdr:nvPicPr>
        <xdr:cNvPr id="72" name="Picture 5" descr=" 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576061" y="89260679"/>
          <a:ext cx="3302546" cy="23341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1143000</xdr:colOff>
      <xdr:row>9</xdr:row>
      <xdr:rowOff>121920</xdr:rowOff>
    </xdr:from>
    <xdr:to>
      <xdr:col>6</xdr:col>
      <xdr:colOff>1859280</xdr:colOff>
      <xdr:row>10</xdr:row>
      <xdr:rowOff>106680</xdr:rowOff>
    </xdr:to>
    <xdr:pic>
      <xdr:nvPicPr>
        <xdr:cNvPr id="78" name="Grafik 77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783080"/>
          <a:ext cx="7162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24</xdr:row>
      <xdr:rowOff>30480</xdr:rowOff>
    </xdr:from>
    <xdr:to>
      <xdr:col>6</xdr:col>
      <xdr:colOff>2781300</xdr:colOff>
      <xdr:row>25</xdr:row>
      <xdr:rowOff>160020</xdr:rowOff>
    </xdr:to>
    <xdr:pic>
      <xdr:nvPicPr>
        <xdr:cNvPr id="79" name="Grafik 78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320" y="4579620"/>
          <a:ext cx="25527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480060</xdr:colOff>
      <xdr:row>29</xdr:row>
      <xdr:rowOff>15240</xdr:rowOff>
    </xdr:from>
    <xdr:to>
      <xdr:col>6</xdr:col>
      <xdr:colOff>2369820</xdr:colOff>
      <xdr:row>30</xdr:row>
      <xdr:rowOff>144780</xdr:rowOff>
    </xdr:to>
    <xdr:pic>
      <xdr:nvPicPr>
        <xdr:cNvPr id="89" name="Grafik 88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5494020"/>
          <a:ext cx="18897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31</xdr:row>
      <xdr:rowOff>68580</xdr:rowOff>
    </xdr:from>
    <xdr:to>
      <xdr:col>6</xdr:col>
      <xdr:colOff>2903220</xdr:colOff>
      <xdr:row>33</xdr:row>
      <xdr:rowOff>30480</xdr:rowOff>
    </xdr:to>
    <xdr:pic>
      <xdr:nvPicPr>
        <xdr:cNvPr id="93" name="Grafik 9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120" y="5867400"/>
          <a:ext cx="16078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1866900</xdr:colOff>
      <xdr:row>34</xdr:row>
      <xdr:rowOff>22860</xdr:rowOff>
    </xdr:from>
    <xdr:to>
      <xdr:col>6</xdr:col>
      <xdr:colOff>2865120</xdr:colOff>
      <xdr:row>35</xdr:row>
      <xdr:rowOff>30480</xdr:rowOff>
    </xdr:to>
    <xdr:pic>
      <xdr:nvPicPr>
        <xdr:cNvPr id="94" name="Grafik 9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620" y="6431280"/>
          <a:ext cx="9982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1691640</xdr:colOff>
      <xdr:row>35</xdr:row>
      <xdr:rowOff>68580</xdr:rowOff>
    </xdr:from>
    <xdr:to>
      <xdr:col>6</xdr:col>
      <xdr:colOff>2697480</xdr:colOff>
      <xdr:row>37</xdr:row>
      <xdr:rowOff>76200</xdr:rowOff>
    </xdr:to>
    <xdr:pic>
      <xdr:nvPicPr>
        <xdr:cNvPr id="95" name="Grafik 94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5360" y="6637020"/>
          <a:ext cx="100584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952500</xdr:colOff>
      <xdr:row>53</xdr:row>
      <xdr:rowOff>30480</xdr:rowOff>
    </xdr:from>
    <xdr:to>
      <xdr:col>6</xdr:col>
      <xdr:colOff>1950720</xdr:colOff>
      <xdr:row>54</xdr:row>
      <xdr:rowOff>152400</xdr:rowOff>
    </xdr:to>
    <xdr:pic>
      <xdr:nvPicPr>
        <xdr:cNvPr id="98" name="Grafik 97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220" y="9692640"/>
          <a:ext cx="9982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914400</xdr:colOff>
      <xdr:row>57</xdr:row>
      <xdr:rowOff>30480</xdr:rowOff>
    </xdr:from>
    <xdr:to>
      <xdr:col>6</xdr:col>
      <xdr:colOff>2080260</xdr:colOff>
      <xdr:row>58</xdr:row>
      <xdr:rowOff>152400</xdr:rowOff>
    </xdr:to>
    <xdr:pic>
      <xdr:nvPicPr>
        <xdr:cNvPr id="99" name="Grafik 98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10454640"/>
          <a:ext cx="11658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845820</xdr:colOff>
      <xdr:row>63</xdr:row>
      <xdr:rowOff>45720</xdr:rowOff>
    </xdr:from>
    <xdr:to>
      <xdr:col>6</xdr:col>
      <xdr:colOff>2125980</xdr:colOff>
      <xdr:row>64</xdr:row>
      <xdr:rowOff>167640</xdr:rowOff>
    </xdr:to>
    <xdr:pic>
      <xdr:nvPicPr>
        <xdr:cNvPr id="101" name="Grafik 100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11628120"/>
          <a:ext cx="12801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670560</xdr:colOff>
      <xdr:row>89</xdr:row>
      <xdr:rowOff>45720</xdr:rowOff>
    </xdr:from>
    <xdr:to>
      <xdr:col>6</xdr:col>
      <xdr:colOff>1897380</xdr:colOff>
      <xdr:row>91</xdr:row>
      <xdr:rowOff>0</xdr:rowOff>
    </xdr:to>
    <xdr:pic>
      <xdr:nvPicPr>
        <xdr:cNvPr id="75" name="Grafik 74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16428720"/>
          <a:ext cx="1226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1165860</xdr:colOff>
      <xdr:row>111</xdr:row>
      <xdr:rowOff>38100</xdr:rowOff>
    </xdr:from>
    <xdr:to>
      <xdr:col>6</xdr:col>
      <xdr:colOff>2217420</xdr:colOff>
      <xdr:row>113</xdr:row>
      <xdr:rowOff>0</xdr:rowOff>
    </xdr:to>
    <xdr:pic>
      <xdr:nvPicPr>
        <xdr:cNvPr id="88" name="Grafik 87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580" y="20337780"/>
          <a:ext cx="10515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982980</xdr:colOff>
      <xdr:row>133</xdr:row>
      <xdr:rowOff>76200</xdr:rowOff>
    </xdr:from>
    <xdr:to>
      <xdr:col>6</xdr:col>
      <xdr:colOff>2438400</xdr:colOff>
      <xdr:row>135</xdr:row>
      <xdr:rowOff>15240</xdr:rowOff>
    </xdr:to>
    <xdr:pic>
      <xdr:nvPicPr>
        <xdr:cNvPr id="110" name="Grafik 109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24627840"/>
          <a:ext cx="1455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899160</xdr:colOff>
      <xdr:row>138</xdr:row>
      <xdr:rowOff>30480</xdr:rowOff>
    </xdr:from>
    <xdr:to>
      <xdr:col>6</xdr:col>
      <xdr:colOff>2057400</xdr:colOff>
      <xdr:row>138</xdr:row>
      <xdr:rowOff>198120</xdr:rowOff>
    </xdr:to>
    <xdr:pic>
      <xdr:nvPicPr>
        <xdr:cNvPr id="112" name="Grafik 111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2880" y="25382220"/>
          <a:ext cx="11582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205740</xdr:colOff>
      <xdr:row>146</xdr:row>
      <xdr:rowOff>137160</xdr:rowOff>
    </xdr:from>
    <xdr:to>
      <xdr:col>6</xdr:col>
      <xdr:colOff>1135380</xdr:colOff>
      <xdr:row>148</xdr:row>
      <xdr:rowOff>83820</xdr:rowOff>
    </xdr:to>
    <xdr:pic>
      <xdr:nvPicPr>
        <xdr:cNvPr id="114" name="Grafik 113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26791920"/>
          <a:ext cx="9296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1859280</xdr:colOff>
      <xdr:row>150</xdr:row>
      <xdr:rowOff>45720</xdr:rowOff>
    </xdr:from>
    <xdr:to>
      <xdr:col>6</xdr:col>
      <xdr:colOff>2933700</xdr:colOff>
      <xdr:row>152</xdr:row>
      <xdr:rowOff>160020</xdr:rowOff>
    </xdr:to>
    <xdr:pic>
      <xdr:nvPicPr>
        <xdr:cNvPr id="117" name="Grafik 116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27409140"/>
          <a:ext cx="107442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1889760</xdr:colOff>
      <xdr:row>146</xdr:row>
      <xdr:rowOff>30480</xdr:rowOff>
    </xdr:from>
    <xdr:to>
      <xdr:col>6</xdr:col>
      <xdr:colOff>2674620</xdr:colOff>
      <xdr:row>148</xdr:row>
      <xdr:rowOff>144780</xdr:rowOff>
    </xdr:to>
    <xdr:pic>
      <xdr:nvPicPr>
        <xdr:cNvPr id="118" name="Grafik 117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685240"/>
          <a:ext cx="78486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1828800</xdr:colOff>
      <xdr:row>180</xdr:row>
      <xdr:rowOff>0</xdr:rowOff>
    </xdr:from>
    <xdr:to>
      <xdr:col>1</xdr:col>
      <xdr:colOff>2903220</xdr:colOff>
      <xdr:row>181</xdr:row>
      <xdr:rowOff>7620</xdr:rowOff>
    </xdr:to>
    <xdr:pic>
      <xdr:nvPicPr>
        <xdr:cNvPr id="120" name="Grafik 119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2918400"/>
          <a:ext cx="107442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2087880</xdr:colOff>
      <xdr:row>171</xdr:row>
      <xdr:rowOff>121920</xdr:rowOff>
    </xdr:from>
    <xdr:to>
      <xdr:col>1</xdr:col>
      <xdr:colOff>2918460</xdr:colOff>
      <xdr:row>173</xdr:row>
      <xdr:rowOff>106680</xdr:rowOff>
    </xdr:to>
    <xdr:pic>
      <xdr:nvPicPr>
        <xdr:cNvPr id="122" name="Grafik 121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31417260"/>
          <a:ext cx="8305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3695700</xdr:colOff>
      <xdr:row>171</xdr:row>
      <xdr:rowOff>129540</xdr:rowOff>
    </xdr:from>
    <xdr:to>
      <xdr:col>1</xdr:col>
      <xdr:colOff>4472940</xdr:colOff>
      <xdr:row>173</xdr:row>
      <xdr:rowOff>152400</xdr:rowOff>
    </xdr:to>
    <xdr:pic>
      <xdr:nvPicPr>
        <xdr:cNvPr id="124" name="Grafik 123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1424880"/>
          <a:ext cx="77724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3139440</xdr:colOff>
      <xdr:row>173</xdr:row>
      <xdr:rowOff>137160</xdr:rowOff>
    </xdr:from>
    <xdr:to>
      <xdr:col>1</xdr:col>
      <xdr:colOff>3680460</xdr:colOff>
      <xdr:row>175</xdr:row>
      <xdr:rowOff>91440</xdr:rowOff>
    </xdr:to>
    <xdr:pic>
      <xdr:nvPicPr>
        <xdr:cNvPr id="125" name="Grafik 124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7540" y="31783020"/>
          <a:ext cx="5410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1501140</xdr:colOff>
      <xdr:row>173</xdr:row>
      <xdr:rowOff>152400</xdr:rowOff>
    </xdr:from>
    <xdr:to>
      <xdr:col>1</xdr:col>
      <xdr:colOff>1874520</xdr:colOff>
      <xdr:row>175</xdr:row>
      <xdr:rowOff>76200</xdr:rowOff>
    </xdr:to>
    <xdr:pic>
      <xdr:nvPicPr>
        <xdr:cNvPr id="128" name="Grafik 127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31798260"/>
          <a:ext cx="37338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2065020</xdr:colOff>
      <xdr:row>186</xdr:row>
      <xdr:rowOff>106680</xdr:rowOff>
    </xdr:from>
    <xdr:to>
      <xdr:col>1</xdr:col>
      <xdr:colOff>3375660</xdr:colOff>
      <xdr:row>188</xdr:row>
      <xdr:rowOff>53340</xdr:rowOff>
    </xdr:to>
    <xdr:pic>
      <xdr:nvPicPr>
        <xdr:cNvPr id="130" name="Grafik 129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34152840"/>
          <a:ext cx="13106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3878580</xdr:colOff>
      <xdr:row>186</xdr:row>
      <xdr:rowOff>160020</xdr:rowOff>
    </xdr:from>
    <xdr:to>
      <xdr:col>1</xdr:col>
      <xdr:colOff>4404360</xdr:colOff>
      <xdr:row>188</xdr:row>
      <xdr:rowOff>76200</xdr:rowOff>
    </xdr:to>
    <xdr:pic>
      <xdr:nvPicPr>
        <xdr:cNvPr id="132" name="Grafik 131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680" y="34206180"/>
          <a:ext cx="52578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746760</xdr:colOff>
      <xdr:row>175</xdr:row>
      <xdr:rowOff>114300</xdr:rowOff>
    </xdr:from>
    <xdr:to>
      <xdr:col>1</xdr:col>
      <xdr:colOff>1295400</xdr:colOff>
      <xdr:row>177</xdr:row>
      <xdr:rowOff>91440</xdr:rowOff>
    </xdr:to>
    <xdr:pic>
      <xdr:nvPicPr>
        <xdr:cNvPr id="134" name="Grafik 133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2118300"/>
          <a:ext cx="5486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2720340</xdr:colOff>
      <xdr:row>190</xdr:row>
      <xdr:rowOff>7620</xdr:rowOff>
    </xdr:from>
    <xdr:to>
      <xdr:col>1</xdr:col>
      <xdr:colOff>3398520</xdr:colOff>
      <xdr:row>191</xdr:row>
      <xdr:rowOff>0</xdr:rowOff>
    </xdr:to>
    <xdr:pic>
      <xdr:nvPicPr>
        <xdr:cNvPr id="138" name="Grafik 13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440" y="34785300"/>
          <a:ext cx="6781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2141220</xdr:colOff>
      <xdr:row>188</xdr:row>
      <xdr:rowOff>137160</xdr:rowOff>
    </xdr:from>
    <xdr:to>
      <xdr:col>1</xdr:col>
      <xdr:colOff>3398520</xdr:colOff>
      <xdr:row>189</xdr:row>
      <xdr:rowOff>144780</xdr:rowOff>
    </xdr:to>
    <xdr:pic>
      <xdr:nvPicPr>
        <xdr:cNvPr id="141" name="Grafik 140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4549080"/>
          <a:ext cx="1257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528712</xdr:colOff>
      <xdr:row>270</xdr:row>
      <xdr:rowOff>21592</xdr:rowOff>
    </xdr:from>
    <xdr:to>
      <xdr:col>6</xdr:col>
      <xdr:colOff>2453640</xdr:colOff>
      <xdr:row>302</xdr:row>
      <xdr:rowOff>155567</xdr:rowOff>
    </xdr:to>
    <xdr:pic>
      <xdr:nvPicPr>
        <xdr:cNvPr id="73" name="Picture 7" descr="Bildergebnis für periodensystem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66812" y="50039272"/>
          <a:ext cx="8775308" cy="613091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531</xdr:row>
      <xdr:rowOff>0</xdr:rowOff>
    </xdr:from>
    <xdr:to>
      <xdr:col>4</xdr:col>
      <xdr:colOff>304800</xdr:colOff>
      <xdr:row>532</xdr:row>
      <xdr:rowOff>106680</xdr:rowOff>
    </xdr:to>
    <xdr:sp macro="" textlink="">
      <xdr:nvSpPr>
        <xdr:cNvPr id="9221" name="AutoShape 5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6073140" y="9400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532</xdr:row>
      <xdr:rowOff>0</xdr:rowOff>
    </xdr:from>
    <xdr:to>
      <xdr:col>2</xdr:col>
      <xdr:colOff>304800</xdr:colOff>
      <xdr:row>533</xdr:row>
      <xdr:rowOff>106680</xdr:rowOff>
    </xdr:to>
    <xdr:sp macro="" textlink="">
      <xdr:nvSpPr>
        <xdr:cNvPr id="9223" name="AutoShape 7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4732020" y="941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532</xdr:row>
      <xdr:rowOff>0</xdr:rowOff>
    </xdr:from>
    <xdr:to>
      <xdr:col>2</xdr:col>
      <xdr:colOff>304800</xdr:colOff>
      <xdr:row>533</xdr:row>
      <xdr:rowOff>106680</xdr:rowOff>
    </xdr:to>
    <xdr:sp macro="" textlink="">
      <xdr:nvSpPr>
        <xdr:cNvPr id="9225" name="AutoShape 9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4732020" y="941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304800</xdr:colOff>
      <xdr:row>533</xdr:row>
      <xdr:rowOff>106680</xdr:rowOff>
    </xdr:to>
    <xdr:sp macro="" textlink="">
      <xdr:nvSpPr>
        <xdr:cNvPr id="9226" name="AutoShape 10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5219700" y="941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304800</xdr:colOff>
      <xdr:row>533</xdr:row>
      <xdr:rowOff>106680</xdr:rowOff>
    </xdr:to>
    <xdr:sp macro="" textlink="">
      <xdr:nvSpPr>
        <xdr:cNvPr id="9228" name="AutoShape 12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5219700" y="941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531</xdr:row>
      <xdr:rowOff>0</xdr:rowOff>
    </xdr:from>
    <xdr:to>
      <xdr:col>3</xdr:col>
      <xdr:colOff>304800</xdr:colOff>
      <xdr:row>532</xdr:row>
      <xdr:rowOff>106680</xdr:rowOff>
    </xdr:to>
    <xdr:sp macro="" textlink="">
      <xdr:nvSpPr>
        <xdr:cNvPr id="9229" name="AutoShape 13" descr="https://www.leifiphysik.de/sites/default/files/medien/rutherfordscher_streuversuch_bild.svg"/>
        <xdr:cNvSpPr>
          <a:spLocks noChangeAspect="1" noChangeArrowheads="1"/>
        </xdr:cNvSpPr>
      </xdr:nvSpPr>
      <xdr:spPr bwMode="auto">
        <a:xfrm>
          <a:off x="5219700" y="9400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800100</xdr:colOff>
      <xdr:row>3</xdr:row>
      <xdr:rowOff>38100</xdr:rowOff>
    </xdr:from>
    <xdr:to>
      <xdr:col>6</xdr:col>
      <xdr:colOff>2125980</xdr:colOff>
      <xdr:row>4</xdr:row>
      <xdr:rowOff>167640</xdr:rowOff>
    </xdr:to>
    <xdr:pic>
      <xdr:nvPicPr>
        <xdr:cNvPr id="92" name="Grafik 91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94360"/>
          <a:ext cx="13258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701040</xdr:colOff>
      <xdr:row>6</xdr:row>
      <xdr:rowOff>38100</xdr:rowOff>
    </xdr:from>
    <xdr:to>
      <xdr:col>6</xdr:col>
      <xdr:colOff>2110740</xdr:colOff>
      <xdr:row>8</xdr:row>
      <xdr:rowOff>0</xdr:rowOff>
    </xdr:to>
    <xdr:pic>
      <xdr:nvPicPr>
        <xdr:cNvPr id="96" name="Grafik 95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760" y="1143000"/>
          <a:ext cx="14097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647700</xdr:colOff>
      <xdr:row>13</xdr:row>
      <xdr:rowOff>38100</xdr:rowOff>
    </xdr:from>
    <xdr:to>
      <xdr:col>6</xdr:col>
      <xdr:colOff>2164080</xdr:colOff>
      <xdr:row>14</xdr:row>
      <xdr:rowOff>167640</xdr:rowOff>
    </xdr:to>
    <xdr:pic>
      <xdr:nvPicPr>
        <xdr:cNvPr id="104" name="Grafik 103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2407920"/>
          <a:ext cx="15163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876300</xdr:colOff>
      <xdr:row>28</xdr:row>
      <xdr:rowOff>22860</xdr:rowOff>
    </xdr:from>
    <xdr:to>
      <xdr:col>6</xdr:col>
      <xdr:colOff>2103120</xdr:colOff>
      <xdr:row>29</xdr:row>
      <xdr:rowOff>7620</xdr:rowOff>
    </xdr:to>
    <xdr:pic>
      <xdr:nvPicPr>
        <xdr:cNvPr id="105" name="Grafik 104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0020" y="5212080"/>
          <a:ext cx="12268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685800</xdr:colOff>
      <xdr:row>17</xdr:row>
      <xdr:rowOff>137160</xdr:rowOff>
    </xdr:from>
    <xdr:to>
      <xdr:col>6</xdr:col>
      <xdr:colOff>1866900</xdr:colOff>
      <xdr:row>18</xdr:row>
      <xdr:rowOff>106680</xdr:rowOff>
    </xdr:to>
    <xdr:pic>
      <xdr:nvPicPr>
        <xdr:cNvPr id="107" name="Grafik 106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3238500"/>
          <a:ext cx="11811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731520</xdr:colOff>
      <xdr:row>74</xdr:row>
      <xdr:rowOff>60960</xdr:rowOff>
    </xdr:from>
    <xdr:to>
      <xdr:col>6</xdr:col>
      <xdr:colOff>1455420</xdr:colOff>
      <xdr:row>75</xdr:row>
      <xdr:rowOff>167640</xdr:rowOff>
    </xdr:to>
    <xdr:pic>
      <xdr:nvPicPr>
        <xdr:cNvPr id="109" name="Grafik 108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13776960"/>
          <a:ext cx="7239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754380</xdr:colOff>
      <xdr:row>92</xdr:row>
      <xdr:rowOff>30480</xdr:rowOff>
    </xdr:from>
    <xdr:to>
      <xdr:col>6</xdr:col>
      <xdr:colOff>1325880</xdr:colOff>
      <xdr:row>93</xdr:row>
      <xdr:rowOff>15240</xdr:rowOff>
    </xdr:to>
    <xdr:pic>
      <xdr:nvPicPr>
        <xdr:cNvPr id="111" name="Grafik 110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7015460"/>
          <a:ext cx="5715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754380</xdr:colOff>
      <xdr:row>94</xdr:row>
      <xdr:rowOff>15240</xdr:rowOff>
    </xdr:from>
    <xdr:to>
      <xdr:col>6</xdr:col>
      <xdr:colOff>1219200</xdr:colOff>
      <xdr:row>95</xdr:row>
      <xdr:rowOff>0</xdr:rowOff>
    </xdr:to>
    <xdr:pic>
      <xdr:nvPicPr>
        <xdr:cNvPr id="113" name="Grafik 11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7358360"/>
          <a:ext cx="4648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975360</xdr:colOff>
      <xdr:row>122</xdr:row>
      <xdr:rowOff>76200</xdr:rowOff>
    </xdr:from>
    <xdr:to>
      <xdr:col>6</xdr:col>
      <xdr:colOff>1943100</xdr:colOff>
      <xdr:row>123</xdr:row>
      <xdr:rowOff>167640</xdr:rowOff>
    </xdr:to>
    <xdr:pic>
      <xdr:nvPicPr>
        <xdr:cNvPr id="121" name="Grafik 120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080" y="22623780"/>
          <a:ext cx="9677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548640</xdr:colOff>
      <xdr:row>129</xdr:row>
      <xdr:rowOff>106680</xdr:rowOff>
    </xdr:from>
    <xdr:to>
      <xdr:col>6</xdr:col>
      <xdr:colOff>2461260</xdr:colOff>
      <xdr:row>131</xdr:row>
      <xdr:rowOff>53340</xdr:rowOff>
    </xdr:to>
    <xdr:pic>
      <xdr:nvPicPr>
        <xdr:cNvPr id="126" name="Grafik 125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360" y="23995380"/>
          <a:ext cx="19126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853440</xdr:colOff>
      <xdr:row>125</xdr:row>
      <xdr:rowOff>99060</xdr:rowOff>
    </xdr:from>
    <xdr:to>
      <xdr:col>6</xdr:col>
      <xdr:colOff>2103120</xdr:colOff>
      <xdr:row>127</xdr:row>
      <xdr:rowOff>60960</xdr:rowOff>
    </xdr:to>
    <xdr:pic>
      <xdr:nvPicPr>
        <xdr:cNvPr id="129" name="Grafik 128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23241000"/>
          <a:ext cx="12496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853440</xdr:colOff>
      <xdr:row>43</xdr:row>
      <xdr:rowOff>45720</xdr:rowOff>
    </xdr:from>
    <xdr:to>
      <xdr:col>6</xdr:col>
      <xdr:colOff>2004060</xdr:colOff>
      <xdr:row>45</xdr:row>
      <xdr:rowOff>160020</xdr:rowOff>
    </xdr:to>
    <xdr:pic>
      <xdr:nvPicPr>
        <xdr:cNvPr id="131" name="Grafik 130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7909560"/>
          <a:ext cx="11506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1127760</xdr:colOff>
      <xdr:row>517</xdr:row>
      <xdr:rowOff>38100</xdr:rowOff>
    </xdr:from>
    <xdr:to>
      <xdr:col>6</xdr:col>
      <xdr:colOff>1638300</xdr:colOff>
      <xdr:row>518</xdr:row>
      <xdr:rowOff>182880</xdr:rowOff>
    </xdr:to>
    <xdr:pic>
      <xdr:nvPicPr>
        <xdr:cNvPr id="90" name="Grafik 8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1480" y="96339660"/>
          <a:ext cx="51054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144780</xdr:colOff>
      <xdr:row>532</xdr:row>
      <xdr:rowOff>30480</xdr:rowOff>
    </xdr:from>
    <xdr:to>
      <xdr:col>6</xdr:col>
      <xdr:colOff>1089660</xdr:colOff>
      <xdr:row>533</xdr:row>
      <xdr:rowOff>15240</xdr:rowOff>
    </xdr:to>
    <xdr:pic>
      <xdr:nvPicPr>
        <xdr:cNvPr id="116" name="Grafik 115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99966780"/>
          <a:ext cx="944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1638300</xdr:colOff>
      <xdr:row>532</xdr:row>
      <xdr:rowOff>22860</xdr:rowOff>
    </xdr:from>
    <xdr:to>
      <xdr:col>6</xdr:col>
      <xdr:colOff>2781300</xdr:colOff>
      <xdr:row>533</xdr:row>
      <xdr:rowOff>7620</xdr:rowOff>
    </xdr:to>
    <xdr:pic>
      <xdr:nvPicPr>
        <xdr:cNvPr id="119" name="Grafik 118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99959160"/>
          <a:ext cx="114300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1036320</xdr:colOff>
      <xdr:row>529</xdr:row>
      <xdr:rowOff>30480</xdr:rowOff>
    </xdr:from>
    <xdr:to>
      <xdr:col>6</xdr:col>
      <xdr:colOff>1996440</xdr:colOff>
      <xdr:row>530</xdr:row>
      <xdr:rowOff>15240</xdr:rowOff>
    </xdr:to>
    <xdr:pic>
      <xdr:nvPicPr>
        <xdr:cNvPr id="127" name="Grafik 126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040" y="99372420"/>
          <a:ext cx="9601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521</xdr:row>
      <xdr:rowOff>0</xdr:rowOff>
    </xdr:from>
    <xdr:ext cx="304800" cy="304800"/>
    <xdr:sp macro="" textlink="">
      <xdr:nvSpPr>
        <xdr:cNvPr id="83" name="AutoShape 10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5219700" y="9931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521</xdr:row>
      <xdr:rowOff>0</xdr:rowOff>
    </xdr:from>
    <xdr:ext cx="304800" cy="304800"/>
    <xdr:sp macro="" textlink="">
      <xdr:nvSpPr>
        <xdr:cNvPr id="84" name="AutoShape 12" descr="RUTHERFORD'scher Streuversuch (Abitur BY 2016 Ph12 A2-2) | LEIFIphysik"/>
        <xdr:cNvSpPr>
          <a:spLocks noChangeAspect="1" noChangeArrowheads="1"/>
        </xdr:cNvSpPr>
      </xdr:nvSpPr>
      <xdr:spPr bwMode="auto">
        <a:xfrm>
          <a:off x="5219700" y="9931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520</xdr:row>
      <xdr:rowOff>0</xdr:rowOff>
    </xdr:from>
    <xdr:ext cx="304800" cy="304800"/>
    <xdr:sp macro="" textlink="">
      <xdr:nvSpPr>
        <xdr:cNvPr id="85" name="AutoShape 13" descr="https://www.leifiphysik.de/sites/default/files/medien/rutherfordscher_streuversuch_bild.svg"/>
        <xdr:cNvSpPr>
          <a:spLocks noChangeAspect="1" noChangeArrowheads="1"/>
        </xdr:cNvSpPr>
      </xdr:nvSpPr>
      <xdr:spPr bwMode="auto">
        <a:xfrm>
          <a:off x="5219700" y="99128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144779</xdr:colOff>
      <xdr:row>508</xdr:row>
      <xdr:rowOff>17648</xdr:rowOff>
    </xdr:from>
    <xdr:to>
      <xdr:col>1</xdr:col>
      <xdr:colOff>2875106</xdr:colOff>
      <xdr:row>518</xdr:row>
      <xdr:rowOff>0</xdr:rowOff>
    </xdr:to>
    <xdr:pic>
      <xdr:nvPicPr>
        <xdr:cNvPr id="86" name="Grafik 8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" y="94452308"/>
          <a:ext cx="2730327" cy="193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1752600</xdr:colOff>
      <xdr:row>529</xdr:row>
      <xdr:rowOff>58673</xdr:rowOff>
    </xdr:from>
    <xdr:to>
      <xdr:col>1</xdr:col>
      <xdr:colOff>2941536</xdr:colOff>
      <xdr:row>533</xdr:row>
      <xdr:rowOff>114300</xdr:rowOff>
    </xdr:to>
    <xdr:pic>
      <xdr:nvPicPr>
        <xdr:cNvPr id="87" name="Grafik 8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98707193"/>
          <a:ext cx="1188936" cy="848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514</xdr:row>
      <xdr:rowOff>0</xdr:rowOff>
    </xdr:from>
    <xdr:to>
      <xdr:col>10</xdr:col>
      <xdr:colOff>304800</xdr:colOff>
      <xdr:row>515</xdr:row>
      <xdr:rowOff>106680</xdr:rowOff>
    </xdr:to>
    <xdr:sp macro="" textlink="">
      <xdr:nvSpPr>
        <xdr:cNvPr id="10242" name="dimg_5" descr="Altersbestimmung mit der Radiocarbonmethode | LEIFIphysik"/>
        <xdr:cNvSpPr>
          <a:spLocks noChangeAspect="1" noChangeArrowheads="1"/>
        </xdr:cNvSpPr>
      </xdr:nvSpPr>
      <xdr:spPr bwMode="auto">
        <a:xfrm>
          <a:off x="10820400" y="9559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513</xdr:row>
      <xdr:rowOff>0</xdr:rowOff>
    </xdr:from>
    <xdr:to>
      <xdr:col>10</xdr:col>
      <xdr:colOff>304800</xdr:colOff>
      <xdr:row>514</xdr:row>
      <xdr:rowOff>106680</xdr:rowOff>
    </xdr:to>
    <xdr:sp macro="" textlink="">
      <xdr:nvSpPr>
        <xdr:cNvPr id="10243" name="dimg_5" descr="Altersbestimmung mit der Radiocarbonmethode | LEIFIphysik"/>
        <xdr:cNvSpPr>
          <a:spLocks noChangeAspect="1" noChangeArrowheads="1"/>
        </xdr:cNvSpPr>
      </xdr:nvSpPr>
      <xdr:spPr bwMode="auto">
        <a:xfrm>
          <a:off x="10820400" y="95394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510</xdr:row>
      <xdr:rowOff>0</xdr:rowOff>
    </xdr:from>
    <xdr:to>
      <xdr:col>10</xdr:col>
      <xdr:colOff>304800</xdr:colOff>
      <xdr:row>511</xdr:row>
      <xdr:rowOff>106680</xdr:rowOff>
    </xdr:to>
    <xdr:sp macro="" textlink="">
      <xdr:nvSpPr>
        <xdr:cNvPr id="10245" name="dimg_5" descr="Altersbestimmung mit der Radiocarbonmethode | LEIFIphysik"/>
        <xdr:cNvSpPr>
          <a:spLocks noChangeAspect="1" noChangeArrowheads="1"/>
        </xdr:cNvSpPr>
      </xdr:nvSpPr>
      <xdr:spPr bwMode="auto">
        <a:xfrm>
          <a:off x="10820400" y="94815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15240</xdr:colOff>
      <xdr:row>515</xdr:row>
      <xdr:rowOff>0</xdr:rowOff>
    </xdr:from>
    <xdr:to>
      <xdr:col>10</xdr:col>
      <xdr:colOff>320040</xdr:colOff>
      <xdr:row>516</xdr:row>
      <xdr:rowOff>106680</xdr:rowOff>
    </xdr:to>
    <xdr:sp macro="" textlink="">
      <xdr:nvSpPr>
        <xdr:cNvPr id="10241" name="dimg_37" descr="Altersbestimmung mit der Radiocarbonmethode | LEIFIphysik"/>
        <xdr:cNvSpPr>
          <a:spLocks noChangeAspect="1" noChangeArrowheads="1"/>
        </xdr:cNvSpPr>
      </xdr:nvSpPr>
      <xdr:spPr bwMode="auto">
        <a:xfrm>
          <a:off x="10835640" y="95905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515</xdr:row>
      <xdr:rowOff>0</xdr:rowOff>
    </xdr:from>
    <xdr:to>
      <xdr:col>10</xdr:col>
      <xdr:colOff>304800</xdr:colOff>
      <xdr:row>516</xdr:row>
      <xdr:rowOff>106680</xdr:rowOff>
    </xdr:to>
    <xdr:sp macro="" textlink="">
      <xdr:nvSpPr>
        <xdr:cNvPr id="2" name="dimg_37" descr="Altersbestimmung mit der Radiocarbonmethode | LEIFIphysik"/>
        <xdr:cNvSpPr>
          <a:spLocks noChangeAspect="1" noChangeArrowheads="1"/>
        </xdr:cNvSpPr>
      </xdr:nvSpPr>
      <xdr:spPr bwMode="auto">
        <a:xfrm>
          <a:off x="10820400" y="95791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512</xdr:row>
      <xdr:rowOff>0</xdr:rowOff>
    </xdr:from>
    <xdr:to>
      <xdr:col>10</xdr:col>
      <xdr:colOff>304800</xdr:colOff>
      <xdr:row>513</xdr:row>
      <xdr:rowOff>106680</xdr:rowOff>
    </xdr:to>
    <xdr:sp macro="" textlink="">
      <xdr:nvSpPr>
        <xdr:cNvPr id="10244" name="dimg_37" descr="Altersbestimmung mit der Radiocarbonmethode | LEIFIphysik"/>
        <xdr:cNvSpPr>
          <a:spLocks noChangeAspect="1" noChangeArrowheads="1"/>
        </xdr:cNvSpPr>
      </xdr:nvSpPr>
      <xdr:spPr bwMode="auto">
        <a:xfrm>
          <a:off x="10820400" y="95196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53340</xdr:colOff>
      <xdr:row>527</xdr:row>
      <xdr:rowOff>11520</xdr:rowOff>
    </xdr:from>
    <xdr:to>
      <xdr:col>1</xdr:col>
      <xdr:colOff>2103120</xdr:colOff>
      <xdr:row>534</xdr:row>
      <xdr:rowOff>114300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1440" y="98301900"/>
          <a:ext cx="2049780" cy="14515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523392</xdr:colOff>
      <xdr:row>3</xdr:row>
      <xdr:rowOff>134314</xdr:rowOff>
    </xdr:from>
    <xdr:to>
      <xdr:col>3</xdr:col>
      <xdr:colOff>442740</xdr:colOff>
      <xdr:row>10</xdr:row>
      <xdr:rowOff>3271</xdr:rowOff>
    </xdr:to>
    <xdr:pic>
      <xdr:nvPicPr>
        <xdr:cNvPr id="1026" name="Picture 2" descr="Bildergebnis fÃ¼r bilder freier fall physi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847" y="719284"/>
          <a:ext cx="2913469" cy="1162048"/>
        </a:xfrm>
        <a:prstGeom prst="rect">
          <a:avLst/>
        </a:prstGeom>
        <a:noFill/>
      </xdr:spPr>
    </xdr:pic>
    <xdr:clientData/>
  </xdr:twoCellAnchor>
  <xdr:twoCellAnchor>
    <xdr:from>
      <xdr:col>5</xdr:col>
      <xdr:colOff>57151</xdr:colOff>
      <xdr:row>21</xdr:row>
      <xdr:rowOff>66674</xdr:rowOff>
    </xdr:from>
    <xdr:to>
      <xdr:col>8</xdr:col>
      <xdr:colOff>1</xdr:colOff>
      <xdr:row>36</xdr:row>
      <xdr:rowOff>123825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369262</xdr:colOff>
      <xdr:row>24</xdr:row>
      <xdr:rowOff>0</xdr:rowOff>
    </xdr:from>
    <xdr:to>
      <xdr:col>1</xdr:col>
      <xdr:colOff>1584960</xdr:colOff>
      <xdr:row>36</xdr:row>
      <xdr:rowOff>15240</xdr:rowOff>
    </xdr:to>
    <xdr:pic>
      <xdr:nvPicPr>
        <xdr:cNvPr id="6" name="Grafik 5" descr="Bildergebnis für bilder freier fall physi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62" y="4495800"/>
          <a:ext cx="1215698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769696</xdr:colOff>
      <xdr:row>39</xdr:row>
      <xdr:rowOff>61576</xdr:rowOff>
    </xdr:from>
    <xdr:to>
      <xdr:col>4</xdr:col>
      <xdr:colOff>207817</xdr:colOff>
      <xdr:row>50</xdr:row>
      <xdr:rowOff>172596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151" y="7450667"/>
          <a:ext cx="3301999" cy="2173808"/>
        </a:xfrm>
        <a:prstGeom prst="rect">
          <a:avLst/>
        </a:prstGeom>
      </xdr:spPr>
    </xdr:pic>
    <xdr:clientData/>
  </xdr:twoCellAnchor>
  <xdr:twoCellAnchor>
    <xdr:from>
      <xdr:col>6</xdr:col>
      <xdr:colOff>617220</xdr:colOff>
      <xdr:row>50</xdr:row>
      <xdr:rowOff>121920</xdr:rowOff>
    </xdr:from>
    <xdr:to>
      <xdr:col>7</xdr:col>
      <xdr:colOff>320040</xdr:colOff>
      <xdr:row>52</xdr:row>
      <xdr:rowOff>76200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8884920"/>
          <a:ext cx="13258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624840</xdr:colOff>
      <xdr:row>53</xdr:row>
      <xdr:rowOff>7620</xdr:rowOff>
    </xdr:from>
    <xdr:to>
      <xdr:col>7</xdr:col>
      <xdr:colOff>632460</xdr:colOff>
      <xdr:row>55</xdr:row>
      <xdr:rowOff>45720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9319260"/>
          <a:ext cx="163068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640080</xdr:colOff>
      <xdr:row>55</xdr:row>
      <xdr:rowOff>130695</xdr:rowOff>
    </xdr:from>
    <xdr:to>
      <xdr:col>7</xdr:col>
      <xdr:colOff>373380</xdr:colOff>
      <xdr:row>57</xdr:row>
      <xdr:rowOff>168794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3232" y="10475422"/>
          <a:ext cx="1357360" cy="422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601672</xdr:colOff>
      <xdr:row>58</xdr:row>
      <xdr:rowOff>61344</xdr:rowOff>
    </xdr:from>
    <xdr:to>
      <xdr:col>7</xdr:col>
      <xdr:colOff>738832</xdr:colOff>
      <xdr:row>60</xdr:row>
      <xdr:rowOff>99444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24" y="10975647"/>
          <a:ext cx="1761220" cy="40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624686</xdr:colOff>
      <xdr:row>60</xdr:row>
      <xdr:rowOff>183341</xdr:rowOff>
    </xdr:from>
    <xdr:to>
      <xdr:col>7</xdr:col>
      <xdr:colOff>243686</xdr:colOff>
      <xdr:row>62</xdr:row>
      <xdr:rowOff>122382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838" y="11467099"/>
          <a:ext cx="1243060" cy="308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480907</xdr:colOff>
      <xdr:row>48</xdr:row>
      <xdr:rowOff>29325</xdr:rowOff>
    </xdr:from>
    <xdr:to>
      <xdr:col>6</xdr:col>
      <xdr:colOff>1204807</xdr:colOff>
      <xdr:row>49</xdr:row>
      <xdr:rowOff>153092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4059" y="8927022"/>
          <a:ext cx="723900" cy="308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563880</xdr:colOff>
      <xdr:row>70</xdr:row>
      <xdr:rowOff>7620</xdr:rowOff>
    </xdr:from>
    <xdr:to>
      <xdr:col>6</xdr:col>
      <xdr:colOff>1051560</xdr:colOff>
      <xdr:row>70</xdr:row>
      <xdr:rowOff>175260</xdr:rowOff>
    </xdr:to>
    <xdr:pic>
      <xdr:nvPicPr>
        <xdr:cNvPr id="20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13342620"/>
          <a:ext cx="4876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369454</xdr:colOff>
      <xdr:row>67</xdr:row>
      <xdr:rowOff>138546</xdr:rowOff>
    </xdr:from>
    <xdr:to>
      <xdr:col>6</xdr:col>
      <xdr:colOff>1581342</xdr:colOff>
      <xdr:row>69</xdr:row>
      <xdr:rowOff>75738</xdr:rowOff>
    </xdr:to>
    <xdr:pic>
      <xdr:nvPicPr>
        <xdr:cNvPr id="17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606" y="13054061"/>
          <a:ext cx="1211888" cy="30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300182</xdr:colOff>
      <xdr:row>62</xdr:row>
      <xdr:rowOff>184727</xdr:rowOff>
    </xdr:from>
    <xdr:to>
      <xdr:col>3</xdr:col>
      <xdr:colOff>427643</xdr:colOff>
      <xdr:row>63</xdr:row>
      <xdr:rowOff>167639</xdr:rowOff>
    </xdr:to>
    <xdr:pic>
      <xdr:nvPicPr>
        <xdr:cNvPr id="45" name="Grafik 4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182" y="12053454"/>
          <a:ext cx="1205037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330969</xdr:colOff>
      <xdr:row>59</xdr:row>
      <xdr:rowOff>169333</xdr:rowOff>
    </xdr:from>
    <xdr:to>
      <xdr:col>3</xdr:col>
      <xdr:colOff>628149</xdr:colOff>
      <xdr:row>61</xdr:row>
      <xdr:rowOff>106526</xdr:rowOff>
    </xdr:to>
    <xdr:pic>
      <xdr:nvPicPr>
        <xdr:cNvPr id="47" name="Grafik 4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969" y="11483878"/>
          <a:ext cx="1374756" cy="306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207818</xdr:colOff>
      <xdr:row>70</xdr:row>
      <xdr:rowOff>38484</xdr:rowOff>
    </xdr:from>
    <xdr:to>
      <xdr:col>2</xdr:col>
      <xdr:colOff>886306</xdr:colOff>
      <xdr:row>71</xdr:row>
      <xdr:rowOff>168178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3" y="13215696"/>
          <a:ext cx="2595033" cy="314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130848</xdr:colOff>
      <xdr:row>66</xdr:row>
      <xdr:rowOff>30788</xdr:rowOff>
    </xdr:from>
    <xdr:to>
      <xdr:col>2</xdr:col>
      <xdr:colOff>725208</xdr:colOff>
      <xdr:row>66</xdr:row>
      <xdr:rowOff>198428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848" y="12453697"/>
          <a:ext cx="5943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84666</xdr:colOff>
      <xdr:row>67</xdr:row>
      <xdr:rowOff>23091</xdr:rowOff>
    </xdr:from>
    <xdr:to>
      <xdr:col>2</xdr:col>
      <xdr:colOff>1021926</xdr:colOff>
      <xdr:row>68</xdr:row>
      <xdr:rowOff>13623</xdr:rowOff>
    </xdr:to>
    <xdr:pic>
      <xdr:nvPicPr>
        <xdr:cNvPr id="36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6" y="12646121"/>
          <a:ext cx="937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532079</xdr:colOff>
      <xdr:row>1</xdr:row>
      <xdr:rowOff>22860</xdr:rowOff>
    </xdr:from>
    <xdr:to>
      <xdr:col>5</xdr:col>
      <xdr:colOff>1687034</xdr:colOff>
      <xdr:row>10</xdr:row>
      <xdr:rowOff>0</xdr:rowOff>
    </xdr:to>
    <xdr:pic>
      <xdr:nvPicPr>
        <xdr:cNvPr id="15" name="Picture 1" descr="Bildergebnis für keplersche gesetze Bil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0399" y="220980"/>
          <a:ext cx="3646695" cy="14630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377462</xdr:colOff>
      <xdr:row>52</xdr:row>
      <xdr:rowOff>160021</xdr:rowOff>
    </xdr:from>
    <xdr:to>
      <xdr:col>5</xdr:col>
      <xdr:colOff>1570408</xdr:colOff>
      <xdr:row>62</xdr:row>
      <xdr:rowOff>110413</xdr:rowOff>
    </xdr:to>
    <xdr:pic>
      <xdr:nvPicPr>
        <xdr:cNvPr id="29" name="Picture 2" descr="Bildergebni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77422" y="9304021"/>
          <a:ext cx="1993046" cy="1779192"/>
        </a:xfrm>
        <a:prstGeom prst="rect">
          <a:avLst/>
        </a:prstGeom>
        <a:noFill/>
      </xdr:spPr>
    </xdr:pic>
    <xdr:clientData/>
  </xdr:twoCellAnchor>
  <xdr:twoCellAnchor>
    <xdr:from>
      <xdr:col>5</xdr:col>
      <xdr:colOff>419100</xdr:colOff>
      <xdr:row>182</xdr:row>
      <xdr:rowOff>68580</xdr:rowOff>
    </xdr:from>
    <xdr:to>
      <xdr:col>5</xdr:col>
      <xdr:colOff>975360</xdr:colOff>
      <xdr:row>183</xdr:row>
      <xdr:rowOff>160020</xdr:rowOff>
    </xdr:to>
    <xdr:pic>
      <xdr:nvPicPr>
        <xdr:cNvPr id="41" name="Grafik 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9160" y="32735520"/>
          <a:ext cx="55626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129540</xdr:colOff>
      <xdr:row>167</xdr:row>
      <xdr:rowOff>211982</xdr:rowOff>
    </xdr:from>
    <xdr:to>
      <xdr:col>1</xdr:col>
      <xdr:colOff>1897380</xdr:colOff>
      <xdr:row>177</xdr:row>
      <xdr:rowOff>147481</xdr:rowOff>
    </xdr:to>
    <xdr:pic>
      <xdr:nvPicPr>
        <xdr:cNvPr id="50" name="Grafik 49" descr="https://upload.wikimedia.org/wikipedia/commons/2/27/Gravity_elev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30463382"/>
          <a:ext cx="1767840" cy="2046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411480</xdr:colOff>
      <xdr:row>174</xdr:row>
      <xdr:rowOff>45720</xdr:rowOff>
    </xdr:from>
    <xdr:to>
      <xdr:col>5</xdr:col>
      <xdr:colOff>1249680</xdr:colOff>
      <xdr:row>175</xdr:row>
      <xdr:rowOff>167640</xdr:rowOff>
    </xdr:to>
    <xdr:pic>
      <xdr:nvPicPr>
        <xdr:cNvPr id="44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1540" y="31371540"/>
          <a:ext cx="8382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177</xdr:row>
      <xdr:rowOff>22860</xdr:rowOff>
    </xdr:from>
    <xdr:to>
      <xdr:col>5</xdr:col>
      <xdr:colOff>967740</xdr:colOff>
      <xdr:row>178</xdr:row>
      <xdr:rowOff>0</xdr:rowOff>
    </xdr:to>
    <xdr:pic>
      <xdr:nvPicPr>
        <xdr:cNvPr id="55" name="Grafik 5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31988760"/>
          <a:ext cx="5867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99059</xdr:colOff>
      <xdr:row>179</xdr:row>
      <xdr:rowOff>170006</xdr:rowOff>
    </xdr:from>
    <xdr:to>
      <xdr:col>1</xdr:col>
      <xdr:colOff>3200761</xdr:colOff>
      <xdr:row>191</xdr:row>
      <xdr:rowOff>91440</xdr:rowOff>
    </xdr:to>
    <xdr:pic>
      <xdr:nvPicPr>
        <xdr:cNvPr id="58" name="Grafik 57" descr="Schwingung – Wikipedia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9" y="32844566"/>
          <a:ext cx="3216002" cy="248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441960</xdr:colOff>
      <xdr:row>189</xdr:row>
      <xdr:rowOff>53340</xdr:rowOff>
    </xdr:from>
    <xdr:to>
      <xdr:col>5</xdr:col>
      <xdr:colOff>1165860</xdr:colOff>
      <xdr:row>190</xdr:row>
      <xdr:rowOff>144780</xdr:rowOff>
    </xdr:to>
    <xdr:pic>
      <xdr:nvPicPr>
        <xdr:cNvPr id="66" name="Grafik 6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34815780"/>
          <a:ext cx="7239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784860</xdr:colOff>
      <xdr:row>185</xdr:row>
      <xdr:rowOff>68580</xdr:rowOff>
    </xdr:from>
    <xdr:to>
      <xdr:col>5</xdr:col>
      <xdr:colOff>1615440</xdr:colOff>
      <xdr:row>187</xdr:row>
      <xdr:rowOff>114300</xdr:rowOff>
    </xdr:to>
    <xdr:pic>
      <xdr:nvPicPr>
        <xdr:cNvPr id="70" name="Grafik 6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920" y="33985200"/>
          <a:ext cx="8305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24</xdr:row>
      <xdr:rowOff>22860</xdr:rowOff>
    </xdr:from>
    <xdr:to>
      <xdr:col>1</xdr:col>
      <xdr:colOff>2827020</xdr:colOff>
      <xdr:row>35</xdr:row>
      <xdr:rowOff>38100</xdr:rowOff>
    </xdr:to>
    <xdr:pic>
      <xdr:nvPicPr>
        <xdr:cNvPr id="53" name="Bild 2" descr="Mitteilungen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160520"/>
          <a:ext cx="283464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</xdr:colOff>
      <xdr:row>131</xdr:row>
      <xdr:rowOff>8036</xdr:rowOff>
    </xdr:from>
    <xdr:to>
      <xdr:col>1</xdr:col>
      <xdr:colOff>3322320</xdr:colOff>
      <xdr:row>141</xdr:row>
      <xdr:rowOff>114300</xdr:rowOff>
    </xdr:to>
    <xdr:pic>
      <xdr:nvPicPr>
        <xdr:cNvPr id="57" name="Grafik 56" descr="Astronomie.de - Entstehu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3470016"/>
          <a:ext cx="3307080" cy="194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350520</xdr:colOff>
      <xdr:row>135</xdr:row>
      <xdr:rowOff>53340</xdr:rowOff>
    </xdr:from>
    <xdr:to>
      <xdr:col>5</xdr:col>
      <xdr:colOff>1287780</xdr:colOff>
      <xdr:row>137</xdr:row>
      <xdr:rowOff>160020</xdr:rowOff>
    </xdr:to>
    <xdr:pic>
      <xdr:nvPicPr>
        <xdr:cNvPr id="46" name="Grafik 4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580" y="24528780"/>
          <a:ext cx="93726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144780</xdr:colOff>
      <xdr:row>20</xdr:row>
      <xdr:rowOff>83820</xdr:rowOff>
    </xdr:from>
    <xdr:to>
      <xdr:col>3</xdr:col>
      <xdr:colOff>1546860</xdr:colOff>
      <xdr:row>22</xdr:row>
      <xdr:rowOff>53340</xdr:rowOff>
    </xdr:to>
    <xdr:pic>
      <xdr:nvPicPr>
        <xdr:cNvPr id="56" name="Grafik 5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512820"/>
          <a:ext cx="14020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160020</xdr:colOff>
      <xdr:row>20</xdr:row>
      <xdr:rowOff>83820</xdr:rowOff>
    </xdr:from>
    <xdr:to>
      <xdr:col>5</xdr:col>
      <xdr:colOff>1562100</xdr:colOff>
      <xdr:row>22</xdr:row>
      <xdr:rowOff>53340</xdr:rowOff>
    </xdr:to>
    <xdr:pic>
      <xdr:nvPicPr>
        <xdr:cNvPr id="68" name="Grafik 67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3512820"/>
          <a:ext cx="14020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426720</xdr:colOff>
      <xdr:row>37</xdr:row>
      <xdr:rowOff>91440</xdr:rowOff>
    </xdr:from>
    <xdr:to>
      <xdr:col>5</xdr:col>
      <xdr:colOff>1463040</xdr:colOff>
      <xdr:row>39</xdr:row>
      <xdr:rowOff>22860</xdr:rowOff>
    </xdr:to>
    <xdr:pic>
      <xdr:nvPicPr>
        <xdr:cNvPr id="71" name="Grafik 7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6614160"/>
          <a:ext cx="10363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426720</xdr:colOff>
      <xdr:row>33</xdr:row>
      <xdr:rowOff>121920</xdr:rowOff>
    </xdr:from>
    <xdr:to>
      <xdr:col>5</xdr:col>
      <xdr:colOff>1463040</xdr:colOff>
      <xdr:row>35</xdr:row>
      <xdr:rowOff>60960</xdr:rowOff>
    </xdr:to>
    <xdr:pic>
      <xdr:nvPicPr>
        <xdr:cNvPr id="73" name="Grafik 7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6780" y="5935980"/>
          <a:ext cx="10363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586740</xdr:colOff>
      <xdr:row>12</xdr:row>
      <xdr:rowOff>99060</xdr:rowOff>
    </xdr:from>
    <xdr:to>
      <xdr:col>3</xdr:col>
      <xdr:colOff>1150620</xdr:colOff>
      <xdr:row>14</xdr:row>
      <xdr:rowOff>68580</xdr:rowOff>
    </xdr:to>
    <xdr:pic>
      <xdr:nvPicPr>
        <xdr:cNvPr id="75" name="Grafik 74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2110740"/>
          <a:ext cx="5638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53</xdr:row>
      <xdr:rowOff>22860</xdr:rowOff>
    </xdr:from>
    <xdr:to>
      <xdr:col>3</xdr:col>
      <xdr:colOff>1059180</xdr:colOff>
      <xdr:row>54</xdr:row>
      <xdr:rowOff>7620</xdr:rowOff>
    </xdr:to>
    <xdr:pic>
      <xdr:nvPicPr>
        <xdr:cNvPr id="79" name="Grafik 7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9357360"/>
          <a:ext cx="4495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99060</xdr:colOff>
      <xdr:row>55</xdr:row>
      <xdr:rowOff>106680</xdr:rowOff>
    </xdr:from>
    <xdr:to>
      <xdr:col>3</xdr:col>
      <xdr:colOff>777240</xdr:colOff>
      <xdr:row>56</xdr:row>
      <xdr:rowOff>91440</xdr:rowOff>
    </xdr:to>
    <xdr:pic>
      <xdr:nvPicPr>
        <xdr:cNvPr id="81" name="Grafik 8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380" y="9806940"/>
          <a:ext cx="6781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1082040</xdr:colOff>
      <xdr:row>55</xdr:row>
      <xdr:rowOff>38100</xdr:rowOff>
    </xdr:from>
    <xdr:to>
      <xdr:col>3</xdr:col>
      <xdr:colOff>1607820</xdr:colOff>
      <xdr:row>56</xdr:row>
      <xdr:rowOff>160020</xdr:rowOff>
    </xdr:to>
    <xdr:pic>
      <xdr:nvPicPr>
        <xdr:cNvPr id="86" name="Grafik 8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9738360"/>
          <a:ext cx="52578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601980</xdr:colOff>
      <xdr:row>58</xdr:row>
      <xdr:rowOff>15240</xdr:rowOff>
    </xdr:from>
    <xdr:to>
      <xdr:col>3</xdr:col>
      <xdr:colOff>1120140</xdr:colOff>
      <xdr:row>59</xdr:row>
      <xdr:rowOff>0</xdr:rowOff>
    </xdr:to>
    <xdr:pic>
      <xdr:nvPicPr>
        <xdr:cNvPr id="87" name="Grafik 86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0256520"/>
          <a:ext cx="5181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60</xdr:row>
      <xdr:rowOff>83820</xdr:rowOff>
    </xdr:from>
    <xdr:to>
      <xdr:col>3</xdr:col>
      <xdr:colOff>990600</xdr:colOff>
      <xdr:row>62</xdr:row>
      <xdr:rowOff>53340</xdr:rowOff>
    </xdr:to>
    <xdr:pic>
      <xdr:nvPicPr>
        <xdr:cNvPr id="89" name="Grafik 88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0683240"/>
          <a:ext cx="4191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556260</xdr:colOff>
      <xdr:row>65</xdr:row>
      <xdr:rowOff>53340</xdr:rowOff>
    </xdr:from>
    <xdr:to>
      <xdr:col>5</xdr:col>
      <xdr:colOff>1013460</xdr:colOff>
      <xdr:row>67</xdr:row>
      <xdr:rowOff>137160</xdr:rowOff>
    </xdr:to>
    <xdr:pic>
      <xdr:nvPicPr>
        <xdr:cNvPr id="91" name="Grafik 9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11536680"/>
          <a:ext cx="294894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723900</xdr:colOff>
      <xdr:row>70</xdr:row>
      <xdr:rowOff>76200</xdr:rowOff>
    </xdr:from>
    <xdr:to>
      <xdr:col>5</xdr:col>
      <xdr:colOff>556260</xdr:colOff>
      <xdr:row>73</xdr:row>
      <xdr:rowOff>99060</xdr:rowOff>
    </xdr:to>
    <xdr:pic>
      <xdr:nvPicPr>
        <xdr:cNvPr id="93" name="Grafik 9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12443460"/>
          <a:ext cx="232410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693420</xdr:colOff>
      <xdr:row>76</xdr:row>
      <xdr:rowOff>60960</xdr:rowOff>
    </xdr:from>
    <xdr:to>
      <xdr:col>4</xdr:col>
      <xdr:colOff>182880</xdr:colOff>
      <xdr:row>79</xdr:row>
      <xdr:rowOff>83820</xdr:rowOff>
    </xdr:to>
    <xdr:pic>
      <xdr:nvPicPr>
        <xdr:cNvPr id="94" name="Grafik 93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740" y="13495020"/>
          <a:ext cx="118110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297180</xdr:colOff>
      <xdr:row>83</xdr:row>
      <xdr:rowOff>22860</xdr:rowOff>
    </xdr:from>
    <xdr:to>
      <xdr:col>3</xdr:col>
      <xdr:colOff>1508760</xdr:colOff>
      <xdr:row>84</xdr:row>
      <xdr:rowOff>167640</xdr:rowOff>
    </xdr:to>
    <xdr:pic>
      <xdr:nvPicPr>
        <xdr:cNvPr id="96" name="Grafik 9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660880"/>
          <a:ext cx="12115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304800</xdr:colOff>
      <xdr:row>83</xdr:row>
      <xdr:rowOff>45720</xdr:rowOff>
    </xdr:from>
    <xdr:to>
      <xdr:col>5</xdr:col>
      <xdr:colOff>1432560</xdr:colOff>
      <xdr:row>84</xdr:row>
      <xdr:rowOff>144780</xdr:rowOff>
    </xdr:to>
    <xdr:pic>
      <xdr:nvPicPr>
        <xdr:cNvPr id="97" name="Grafik 96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860" y="14683740"/>
          <a:ext cx="1127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175260</xdr:colOff>
      <xdr:row>89</xdr:row>
      <xdr:rowOff>30480</xdr:rowOff>
    </xdr:from>
    <xdr:to>
      <xdr:col>3</xdr:col>
      <xdr:colOff>1531620</xdr:colOff>
      <xdr:row>90</xdr:row>
      <xdr:rowOff>160020</xdr:rowOff>
    </xdr:to>
    <xdr:pic>
      <xdr:nvPicPr>
        <xdr:cNvPr id="99" name="Grafik 98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15742920"/>
          <a:ext cx="13563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350520</xdr:colOff>
      <xdr:row>89</xdr:row>
      <xdr:rowOff>45720</xdr:rowOff>
    </xdr:from>
    <xdr:to>
      <xdr:col>5</xdr:col>
      <xdr:colOff>1135380</xdr:colOff>
      <xdr:row>90</xdr:row>
      <xdr:rowOff>167640</xdr:rowOff>
    </xdr:to>
    <xdr:pic>
      <xdr:nvPicPr>
        <xdr:cNvPr id="101" name="Grafik 100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580" y="15758160"/>
          <a:ext cx="78486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312420</xdr:colOff>
      <xdr:row>92</xdr:row>
      <xdr:rowOff>30480</xdr:rowOff>
    </xdr:from>
    <xdr:to>
      <xdr:col>3</xdr:col>
      <xdr:colOff>1318260</xdr:colOff>
      <xdr:row>93</xdr:row>
      <xdr:rowOff>160020</xdr:rowOff>
    </xdr:to>
    <xdr:pic>
      <xdr:nvPicPr>
        <xdr:cNvPr id="105" name="Grafik 104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16283940"/>
          <a:ext cx="10058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114</xdr:row>
      <xdr:rowOff>22860</xdr:rowOff>
    </xdr:from>
    <xdr:to>
      <xdr:col>3</xdr:col>
      <xdr:colOff>1059180</xdr:colOff>
      <xdr:row>114</xdr:row>
      <xdr:rowOff>190500</xdr:rowOff>
    </xdr:to>
    <xdr:pic>
      <xdr:nvPicPr>
        <xdr:cNvPr id="108" name="Grafik 107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0383500"/>
          <a:ext cx="4495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373380</xdr:colOff>
      <xdr:row>99</xdr:row>
      <xdr:rowOff>129540</xdr:rowOff>
    </xdr:from>
    <xdr:to>
      <xdr:col>5</xdr:col>
      <xdr:colOff>1371600</xdr:colOff>
      <xdr:row>101</xdr:row>
      <xdr:rowOff>60960</xdr:rowOff>
    </xdr:to>
    <xdr:pic>
      <xdr:nvPicPr>
        <xdr:cNvPr id="110" name="Grafik 109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440" y="17647920"/>
          <a:ext cx="9982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107</xdr:row>
      <xdr:rowOff>60960</xdr:rowOff>
    </xdr:from>
    <xdr:to>
      <xdr:col>5</xdr:col>
      <xdr:colOff>1104900</xdr:colOff>
      <xdr:row>108</xdr:row>
      <xdr:rowOff>167640</xdr:rowOff>
    </xdr:to>
    <xdr:pic>
      <xdr:nvPicPr>
        <xdr:cNvPr id="111" name="Grafik 110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9620" y="19088100"/>
          <a:ext cx="81534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335280</xdr:colOff>
      <xdr:row>131</xdr:row>
      <xdr:rowOff>38100</xdr:rowOff>
    </xdr:from>
    <xdr:to>
      <xdr:col>5</xdr:col>
      <xdr:colOff>1242060</xdr:colOff>
      <xdr:row>133</xdr:row>
      <xdr:rowOff>137160</xdr:rowOff>
    </xdr:to>
    <xdr:pic>
      <xdr:nvPicPr>
        <xdr:cNvPr id="113" name="Grafik 112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23759160"/>
          <a:ext cx="90678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365760</xdr:colOff>
      <xdr:row>139</xdr:row>
      <xdr:rowOff>114300</xdr:rowOff>
    </xdr:from>
    <xdr:to>
      <xdr:col>5</xdr:col>
      <xdr:colOff>1226820</xdr:colOff>
      <xdr:row>141</xdr:row>
      <xdr:rowOff>76200</xdr:rowOff>
    </xdr:to>
    <xdr:pic>
      <xdr:nvPicPr>
        <xdr:cNvPr id="116" name="Grafik 115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820" y="25321260"/>
          <a:ext cx="86106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143</xdr:row>
      <xdr:rowOff>160020</xdr:rowOff>
    </xdr:from>
    <xdr:to>
      <xdr:col>5</xdr:col>
      <xdr:colOff>1143000</xdr:colOff>
      <xdr:row>145</xdr:row>
      <xdr:rowOff>76200</xdr:rowOff>
    </xdr:to>
    <xdr:pic>
      <xdr:nvPicPr>
        <xdr:cNvPr id="117" name="Grafik 116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960" y="26098500"/>
          <a:ext cx="800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116</xdr:row>
      <xdr:rowOff>144780</xdr:rowOff>
    </xdr:from>
    <xdr:to>
      <xdr:col>3</xdr:col>
      <xdr:colOff>1607820</xdr:colOff>
      <xdr:row>118</xdr:row>
      <xdr:rowOff>91440</xdr:rowOff>
    </xdr:to>
    <xdr:pic>
      <xdr:nvPicPr>
        <xdr:cNvPr id="42" name="Grafik 41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0878800"/>
          <a:ext cx="15316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106680</xdr:colOff>
      <xdr:row>185</xdr:row>
      <xdr:rowOff>129540</xdr:rowOff>
    </xdr:from>
    <xdr:to>
      <xdr:col>5</xdr:col>
      <xdr:colOff>594360</xdr:colOff>
      <xdr:row>187</xdr:row>
      <xdr:rowOff>38100</xdr:rowOff>
    </xdr:to>
    <xdr:pic>
      <xdr:nvPicPr>
        <xdr:cNvPr id="43" name="Grafik 42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6740" y="34229040"/>
          <a:ext cx="48768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3581400</xdr:colOff>
      <xdr:row>5</xdr:row>
      <xdr:rowOff>38100</xdr:rowOff>
    </xdr:from>
    <xdr:to>
      <xdr:col>5</xdr:col>
      <xdr:colOff>3581400</xdr:colOff>
      <xdr:row>8</xdr:row>
      <xdr:rowOff>28575</xdr:rowOff>
    </xdr:to>
    <xdr:pic>
      <xdr:nvPicPr>
        <xdr:cNvPr id="3" name="Picture 4" descr="http://matheguru.com/images/pi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39100" y="1143000"/>
          <a:ext cx="952500" cy="952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1447800</xdr:colOff>
      <xdr:row>74</xdr:row>
      <xdr:rowOff>114300</xdr:rowOff>
    </xdr:to>
    <xdr:sp macro="" textlink="">
      <xdr:nvSpPr>
        <xdr:cNvPr id="5" name="AutoShape 3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1106150"/>
          <a:ext cx="5867400" cy="14097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73</xdr:row>
      <xdr:rowOff>0</xdr:rowOff>
    </xdr:to>
    <xdr:sp macro="" textlink="">
      <xdr:nvSpPr>
        <xdr:cNvPr id="6" name="AutoShape 4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1582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304800</xdr:colOff>
      <xdr:row>73</xdr:row>
      <xdr:rowOff>0</xdr:rowOff>
    </xdr:to>
    <xdr:sp macro="" textlink="">
      <xdr:nvSpPr>
        <xdr:cNvPr id="7" name="AutoShape 6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182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304800</xdr:colOff>
      <xdr:row>74</xdr:row>
      <xdr:rowOff>219075</xdr:rowOff>
    </xdr:to>
    <xdr:sp macro="" textlink="">
      <xdr:nvSpPr>
        <xdr:cNvPr id="9" name="AutoShape 4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3487400"/>
          <a:ext cx="304800" cy="2667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304800</xdr:colOff>
      <xdr:row>74</xdr:row>
      <xdr:rowOff>219075</xdr:rowOff>
    </xdr:to>
    <xdr:sp macro="" textlink="">
      <xdr:nvSpPr>
        <xdr:cNvPr id="10" name="AutoShape 4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3487400"/>
          <a:ext cx="304800" cy="2667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0</xdr:rowOff>
    </xdr:to>
    <xdr:sp macro="" textlink="">
      <xdr:nvSpPr>
        <xdr:cNvPr id="11" name="AutoShape 4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0153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304800</xdr:colOff>
      <xdr:row>68</xdr:row>
      <xdr:rowOff>0</xdr:rowOff>
    </xdr:to>
    <xdr:sp macro="" textlink="">
      <xdr:nvSpPr>
        <xdr:cNvPr id="12" name="AutoShape 4" descr="\sigma ={\frac {2\pi ^{5}k_{\mathrm {B} }^{4}}{15h^{3}c^{2}}}=(5{,}670\,367\pm 0{,}000\,013)\,\cdot \,10^{-8}\,\mathrm {\frac {W}{m^{2}K^{4}}} ."/>
        <xdr:cNvSpPr>
          <a:spLocks noChangeAspect="1" noChangeArrowheads="1"/>
        </xdr:cNvSpPr>
      </xdr:nvSpPr>
      <xdr:spPr bwMode="auto">
        <a:xfrm>
          <a:off x="4457700" y="10153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866775</xdr:colOff>
      <xdr:row>77</xdr:row>
      <xdr:rowOff>123825</xdr:rowOff>
    </xdr:to>
    <xdr:sp macro="" textlink="">
      <xdr:nvSpPr>
        <xdr:cNvPr id="13" name="AutoShape 1" descr="a_0 = {{4\pi\varepsilon_0\hbar^2}\over{m_{\mathrm{e}} e^2}}\,."/>
        <xdr:cNvSpPr>
          <a:spLocks noChangeAspect="1" noChangeArrowheads="1"/>
        </xdr:cNvSpPr>
      </xdr:nvSpPr>
      <xdr:spPr bwMode="auto">
        <a:xfrm>
          <a:off x="2562225" y="13487400"/>
          <a:ext cx="1085850" cy="10858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3757774</xdr:colOff>
      <xdr:row>74</xdr:row>
      <xdr:rowOff>38100</xdr:rowOff>
    </xdr:from>
    <xdr:to>
      <xdr:col>5</xdr:col>
      <xdr:colOff>3764653</xdr:colOff>
      <xdr:row>77</xdr:row>
      <xdr:rowOff>180975</xdr:rowOff>
    </xdr:to>
    <xdr:pic>
      <xdr:nvPicPr>
        <xdr:cNvPr id="14" name="Picture 14" descr="https://upload.wikimedia.org/wikipedia/commons/thumb/5/55/Bohr-atom-PAR.svg/2000px-Bohr-atom-PAR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15474" y="13525500"/>
          <a:ext cx="1311804" cy="11430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304800</xdr:colOff>
      <xdr:row>107</xdr:row>
      <xdr:rowOff>47625</xdr:rowOff>
    </xdr:to>
    <xdr:sp macro="" textlink="">
      <xdr:nvSpPr>
        <xdr:cNvPr id="16" name="AutoShape 17" descr="{\displaystyle r_{n}=n^{2}{\frac {4\pi \varepsilon _{0}\hbar ^{2}}{me^{2}}}.}"/>
        <xdr:cNvSpPr>
          <a:spLocks noChangeAspect="1" noChangeArrowheads="1"/>
        </xdr:cNvSpPr>
      </xdr:nvSpPr>
      <xdr:spPr bwMode="auto">
        <a:xfrm>
          <a:off x="4457700" y="1563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3931186</xdr:colOff>
      <xdr:row>74</xdr:row>
      <xdr:rowOff>29117</xdr:rowOff>
    </xdr:from>
    <xdr:to>
      <xdr:col>5</xdr:col>
      <xdr:colOff>5342939</xdr:colOff>
      <xdr:row>78</xdr:row>
      <xdr:rowOff>230504</xdr:rowOff>
    </xdr:to>
    <xdr:pic>
      <xdr:nvPicPr>
        <xdr:cNvPr id="17" name="Picture 14" descr="https://upload.wikimedia.org/wikipedia/commons/thumb/5/55/Bohr-atom-PAR.svg/2000px-Bohr-atom-PAR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10806" y="18446657"/>
          <a:ext cx="1411753" cy="120722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3438969</xdr:colOff>
      <xdr:row>38</xdr:row>
      <xdr:rowOff>43815</xdr:rowOff>
    </xdr:from>
    <xdr:to>
      <xdr:col>5</xdr:col>
      <xdr:colOff>5282564</xdr:colOff>
      <xdr:row>42</xdr:row>
      <xdr:rowOff>243410</xdr:rowOff>
    </xdr:to>
    <xdr:pic>
      <xdr:nvPicPr>
        <xdr:cNvPr id="18" name="Picture 1" descr="http://www.martinchrist.de/fileadmin/_processed_/csm_tripelpunkt_5ac80bf60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18589" y="9469755"/>
          <a:ext cx="1843595" cy="120543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3499485</xdr:colOff>
      <xdr:row>5</xdr:row>
      <xdr:rowOff>194310</xdr:rowOff>
    </xdr:from>
    <xdr:to>
      <xdr:col>5</xdr:col>
      <xdr:colOff>4011454</xdr:colOff>
      <xdr:row>7</xdr:row>
      <xdr:rowOff>95250</xdr:rowOff>
    </xdr:to>
    <xdr:pic>
      <xdr:nvPicPr>
        <xdr:cNvPr id="19" name="Picture 1" descr="https://upload.wikimedia.org/wikipedia/commons/thumb/f/f3/Pi-CM.svg/110px-Pi-CM.svg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79105" y="1375410"/>
          <a:ext cx="511969" cy="40386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4303062</xdr:colOff>
      <xdr:row>5</xdr:row>
      <xdr:rowOff>38099</xdr:rowOff>
    </xdr:from>
    <xdr:to>
      <xdr:col>5</xdr:col>
      <xdr:colOff>5094288</xdr:colOff>
      <xdr:row>7</xdr:row>
      <xdr:rowOff>213360</xdr:rowOff>
    </xdr:to>
    <xdr:pic>
      <xdr:nvPicPr>
        <xdr:cNvPr id="1028" name="Picture 4" descr="http://www.wissen.de/sites/default/files/styles/ws_article_image/public/wissensserver/jadis/incoming/318070.jpg?itok=sPn5v9bJ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882682" y="1219199"/>
          <a:ext cx="791226" cy="67818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7</xdr:col>
      <xdr:colOff>217170</xdr:colOff>
      <xdr:row>93</xdr:row>
      <xdr:rowOff>47625</xdr:rowOff>
    </xdr:to>
    <xdr:sp macro="" textlink="">
      <xdr:nvSpPr>
        <xdr:cNvPr id="20" name="AutoShape 1" descr="Bildergebnis für modelo atomico de bohr"/>
        <xdr:cNvSpPr>
          <a:spLocks noChangeAspect="1" noChangeArrowheads="1"/>
        </xdr:cNvSpPr>
      </xdr:nvSpPr>
      <xdr:spPr bwMode="auto">
        <a:xfrm>
          <a:off x="11172825" y="18259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94</xdr:row>
      <xdr:rowOff>0</xdr:rowOff>
    </xdr:from>
    <xdr:to>
      <xdr:col>7</xdr:col>
      <xdr:colOff>217170</xdr:colOff>
      <xdr:row>95</xdr:row>
      <xdr:rowOff>47625</xdr:rowOff>
    </xdr:to>
    <xdr:sp macro="" textlink="">
      <xdr:nvSpPr>
        <xdr:cNvPr id="1026" name="AutoShape 2" descr="Bildergebnis für schrödinger atommodell erklärung"/>
        <xdr:cNvSpPr>
          <a:spLocks noChangeAspect="1" noChangeArrowheads="1"/>
        </xdr:cNvSpPr>
      </xdr:nvSpPr>
      <xdr:spPr bwMode="auto">
        <a:xfrm>
          <a:off x="11172825" y="185166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3</xdr:col>
      <xdr:colOff>38100</xdr:colOff>
      <xdr:row>80</xdr:row>
      <xdr:rowOff>76200</xdr:rowOff>
    </xdr:from>
    <xdr:to>
      <xdr:col>3</xdr:col>
      <xdr:colOff>891540</xdr:colOff>
      <xdr:row>81</xdr:row>
      <xdr:rowOff>152400</xdr:rowOff>
    </xdr:to>
    <xdr:pic>
      <xdr:nvPicPr>
        <xdr:cNvPr id="29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1780" y="19385280"/>
          <a:ext cx="85344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480060</xdr:colOff>
      <xdr:row>75</xdr:row>
      <xdr:rowOff>91440</xdr:rowOff>
    </xdr:from>
    <xdr:to>
      <xdr:col>4</xdr:col>
      <xdr:colOff>220980</xdr:colOff>
      <xdr:row>76</xdr:row>
      <xdr:rowOff>167640</xdr:rowOff>
    </xdr:to>
    <xdr:pic>
      <xdr:nvPicPr>
        <xdr:cNvPr id="35" name="Grafik 3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18143220"/>
          <a:ext cx="12877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3962400</xdr:colOff>
      <xdr:row>81</xdr:row>
      <xdr:rowOff>243840</xdr:rowOff>
    </xdr:from>
    <xdr:to>
      <xdr:col>5</xdr:col>
      <xdr:colOff>5013960</xdr:colOff>
      <xdr:row>83</xdr:row>
      <xdr:rowOff>53340</xdr:rowOff>
    </xdr:to>
    <xdr:pic>
      <xdr:nvPicPr>
        <xdr:cNvPr id="36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0170140"/>
          <a:ext cx="10515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358140</xdr:colOff>
      <xdr:row>9</xdr:row>
      <xdr:rowOff>91440</xdr:rowOff>
    </xdr:from>
    <xdr:to>
      <xdr:col>4</xdr:col>
      <xdr:colOff>632460</xdr:colOff>
      <xdr:row>10</xdr:row>
      <xdr:rowOff>152400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840" y="2301240"/>
          <a:ext cx="1821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83820</xdr:colOff>
      <xdr:row>17</xdr:row>
      <xdr:rowOff>68580</xdr:rowOff>
    </xdr:from>
    <xdr:to>
      <xdr:col>3</xdr:col>
      <xdr:colOff>876300</xdr:colOff>
      <xdr:row>18</xdr:row>
      <xdr:rowOff>190500</xdr:rowOff>
    </xdr:to>
    <xdr:pic>
      <xdr:nvPicPr>
        <xdr:cNvPr id="31" name="Grafik 3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541520"/>
          <a:ext cx="79248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70</xdr:row>
      <xdr:rowOff>76200</xdr:rowOff>
    </xdr:from>
    <xdr:to>
      <xdr:col>3</xdr:col>
      <xdr:colOff>891540</xdr:colOff>
      <xdr:row>71</xdr:row>
      <xdr:rowOff>152400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16870680"/>
          <a:ext cx="89154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548640</xdr:colOff>
      <xdr:row>90</xdr:row>
      <xdr:rowOff>91440</xdr:rowOff>
    </xdr:from>
    <xdr:to>
      <xdr:col>4</xdr:col>
      <xdr:colOff>38100</xdr:colOff>
      <xdr:row>91</xdr:row>
      <xdr:rowOff>167640</xdr:rowOff>
    </xdr:to>
    <xdr:pic>
      <xdr:nvPicPr>
        <xdr:cNvPr id="26" name="Grafik 2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280880"/>
          <a:ext cx="10287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91440</xdr:colOff>
      <xdr:row>68</xdr:row>
      <xdr:rowOff>38100</xdr:rowOff>
    </xdr:from>
    <xdr:to>
      <xdr:col>3</xdr:col>
      <xdr:colOff>777240</xdr:colOff>
      <xdr:row>68</xdr:row>
      <xdr:rowOff>205740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660" y="16924020"/>
          <a:ext cx="6858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195054</xdr:colOff>
      <xdr:row>56</xdr:row>
      <xdr:rowOff>167126</xdr:rowOff>
    </xdr:from>
    <xdr:to>
      <xdr:col>4</xdr:col>
      <xdr:colOff>990600</xdr:colOff>
      <xdr:row>68</xdr:row>
      <xdr:rowOff>111027</xdr:rowOff>
    </xdr:to>
    <xdr:pic>
      <xdr:nvPicPr>
        <xdr:cNvPr id="1025" name="Picture 1" descr="http://www.relativity.li/uploads/images/I/I5_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814" y="10576046"/>
          <a:ext cx="3112026" cy="212322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57</xdr:row>
      <xdr:rowOff>15240</xdr:rowOff>
    </xdr:from>
    <xdr:to>
      <xdr:col>8</xdr:col>
      <xdr:colOff>959709</xdr:colOff>
      <xdr:row>70</xdr:row>
      <xdr:rowOff>19049</xdr:rowOff>
    </xdr:to>
    <xdr:pic>
      <xdr:nvPicPr>
        <xdr:cNvPr id="1026" name="Picture 2" descr="http://america.pink/images/1/8/5/4/8/9/3/en/3-hafele-keating-experiment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8795" y="10599420"/>
          <a:ext cx="3057114" cy="23812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98</xdr:row>
      <xdr:rowOff>184241</xdr:rowOff>
    </xdr:from>
    <xdr:to>
      <xdr:col>3</xdr:col>
      <xdr:colOff>786765</xdr:colOff>
      <xdr:row>109</xdr:row>
      <xdr:rowOff>174631</xdr:rowOff>
    </xdr:to>
    <xdr:pic>
      <xdr:nvPicPr>
        <xdr:cNvPr id="4" name="Picture 1" descr="https://www.lernhelfer.de/sites/default/files/lexicon/image/BWS-PHY2-0046-07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8729416"/>
          <a:ext cx="2524125" cy="21049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409575</xdr:colOff>
      <xdr:row>86</xdr:row>
      <xdr:rowOff>161925</xdr:rowOff>
    </xdr:from>
    <xdr:to>
      <xdr:col>9</xdr:col>
      <xdr:colOff>488966</xdr:colOff>
      <xdr:row>96</xdr:row>
      <xdr:rowOff>147855</xdr:rowOff>
    </xdr:to>
    <xdr:pic>
      <xdr:nvPicPr>
        <xdr:cNvPr id="5" name="Picture 2" descr="https://www.leifiphysik.de/sites/default/files/medien/Halbwertszeit_zerfallskurve_1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72275" y="16449675"/>
          <a:ext cx="2327291" cy="201475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13</xdr:col>
      <xdr:colOff>466725</xdr:colOff>
      <xdr:row>1</xdr:row>
      <xdr:rowOff>104775</xdr:rowOff>
    </xdr:to>
    <xdr:sp macro="" textlink="">
      <xdr:nvSpPr>
        <xdr:cNvPr id="14" name="uu7kt9HTCnmE8M:" descr="Bildergebnis für symbol für Blitz + Bilder"/>
        <xdr:cNvSpPr>
          <a:spLocks noChangeAspect="1" noChangeArrowheads="1"/>
        </xdr:cNvSpPr>
      </xdr:nvSpPr>
      <xdr:spPr bwMode="auto">
        <a:xfrm>
          <a:off x="11334750" y="31432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2</xdr:col>
      <xdr:colOff>381000</xdr:colOff>
      <xdr:row>27</xdr:row>
      <xdr:rowOff>15240</xdr:rowOff>
    </xdr:from>
    <xdr:to>
      <xdr:col>2</xdr:col>
      <xdr:colOff>830580</xdr:colOff>
      <xdr:row>28</xdr:row>
      <xdr:rowOff>0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" y="5227320"/>
          <a:ext cx="4495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289560</xdr:colOff>
      <xdr:row>27</xdr:row>
      <xdr:rowOff>22860</xdr:rowOff>
    </xdr:from>
    <xdr:to>
      <xdr:col>3</xdr:col>
      <xdr:colOff>792480</xdr:colOff>
      <xdr:row>28</xdr:row>
      <xdr:rowOff>7620</xdr:rowOff>
    </xdr:to>
    <xdr:pic>
      <xdr:nvPicPr>
        <xdr:cNvPr id="33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5234940"/>
          <a:ext cx="5029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403860</xdr:colOff>
      <xdr:row>27</xdr:row>
      <xdr:rowOff>15240</xdr:rowOff>
    </xdr:from>
    <xdr:to>
      <xdr:col>5</xdr:col>
      <xdr:colOff>899160</xdr:colOff>
      <xdr:row>28</xdr:row>
      <xdr:rowOff>0</xdr:rowOff>
    </xdr:to>
    <xdr:pic>
      <xdr:nvPicPr>
        <xdr:cNvPr id="45" name="Grafik 4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5227320"/>
          <a:ext cx="4953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358140</xdr:colOff>
      <xdr:row>27</xdr:row>
      <xdr:rowOff>22860</xdr:rowOff>
    </xdr:from>
    <xdr:to>
      <xdr:col>4</xdr:col>
      <xdr:colOff>784860</xdr:colOff>
      <xdr:row>28</xdr:row>
      <xdr:rowOff>7620</xdr:rowOff>
    </xdr:to>
    <xdr:pic>
      <xdr:nvPicPr>
        <xdr:cNvPr id="52" name="Grafik 5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5234940"/>
          <a:ext cx="4267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396240</xdr:colOff>
      <xdr:row>26</xdr:row>
      <xdr:rowOff>15240</xdr:rowOff>
    </xdr:from>
    <xdr:to>
      <xdr:col>5</xdr:col>
      <xdr:colOff>868680</xdr:colOff>
      <xdr:row>27</xdr:row>
      <xdr:rowOff>0</xdr:rowOff>
    </xdr:to>
    <xdr:pic>
      <xdr:nvPicPr>
        <xdr:cNvPr id="55" name="Grafik 5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20" y="5044440"/>
          <a:ext cx="4724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381000</xdr:colOff>
      <xdr:row>26</xdr:row>
      <xdr:rowOff>22860</xdr:rowOff>
    </xdr:from>
    <xdr:to>
      <xdr:col>6</xdr:col>
      <xdr:colOff>830580</xdr:colOff>
      <xdr:row>27</xdr:row>
      <xdr:rowOff>7620</xdr:rowOff>
    </xdr:to>
    <xdr:pic>
      <xdr:nvPicPr>
        <xdr:cNvPr id="59" name="Grafik 5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5052060"/>
          <a:ext cx="4495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373380</xdr:colOff>
      <xdr:row>27</xdr:row>
      <xdr:rowOff>22860</xdr:rowOff>
    </xdr:from>
    <xdr:to>
      <xdr:col>6</xdr:col>
      <xdr:colOff>868680</xdr:colOff>
      <xdr:row>28</xdr:row>
      <xdr:rowOff>7620</xdr:rowOff>
    </xdr:to>
    <xdr:pic>
      <xdr:nvPicPr>
        <xdr:cNvPr id="61" name="Grafik 6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5234940"/>
          <a:ext cx="4953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68580</xdr:colOff>
      <xdr:row>27</xdr:row>
      <xdr:rowOff>22860</xdr:rowOff>
    </xdr:from>
    <xdr:to>
      <xdr:col>8</xdr:col>
      <xdr:colOff>1104900</xdr:colOff>
      <xdr:row>28</xdr:row>
      <xdr:rowOff>7620</xdr:rowOff>
    </xdr:to>
    <xdr:pic>
      <xdr:nvPicPr>
        <xdr:cNvPr id="62" name="Grafik 6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4780" y="5234940"/>
          <a:ext cx="10363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312420</xdr:colOff>
      <xdr:row>27</xdr:row>
      <xdr:rowOff>22860</xdr:rowOff>
    </xdr:from>
    <xdr:to>
      <xdr:col>7</xdr:col>
      <xdr:colOff>868680</xdr:colOff>
      <xdr:row>28</xdr:row>
      <xdr:rowOff>7620</xdr:rowOff>
    </xdr:to>
    <xdr:pic>
      <xdr:nvPicPr>
        <xdr:cNvPr id="64" name="Grafik 6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5234940"/>
          <a:ext cx="5562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144780</xdr:colOff>
      <xdr:row>26</xdr:row>
      <xdr:rowOff>15240</xdr:rowOff>
    </xdr:from>
    <xdr:to>
      <xdr:col>9</xdr:col>
      <xdr:colOff>815340</xdr:colOff>
      <xdr:row>28</xdr:row>
      <xdr:rowOff>22860</xdr:rowOff>
    </xdr:to>
    <xdr:pic>
      <xdr:nvPicPr>
        <xdr:cNvPr id="65" name="Grafik 6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5044440"/>
          <a:ext cx="67056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108</xdr:row>
      <xdr:rowOff>0</xdr:rowOff>
    </xdr:from>
    <xdr:to>
      <xdr:col>9</xdr:col>
      <xdr:colOff>822960</xdr:colOff>
      <xdr:row>110</xdr:row>
      <xdr:rowOff>15240</xdr:rowOff>
    </xdr:to>
    <xdr:pic>
      <xdr:nvPicPr>
        <xdr:cNvPr id="66" name="Grafik 6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6840" y="20002500"/>
          <a:ext cx="67056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53340</xdr:colOff>
      <xdr:row>109</xdr:row>
      <xdr:rowOff>15240</xdr:rowOff>
    </xdr:from>
    <xdr:to>
      <xdr:col>8</xdr:col>
      <xdr:colOff>1089660</xdr:colOff>
      <xdr:row>110</xdr:row>
      <xdr:rowOff>7620</xdr:rowOff>
    </xdr:to>
    <xdr:pic>
      <xdr:nvPicPr>
        <xdr:cNvPr id="67" name="Grafik 6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9540" y="20200620"/>
          <a:ext cx="10363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373380</xdr:colOff>
      <xdr:row>109</xdr:row>
      <xdr:rowOff>15240</xdr:rowOff>
    </xdr:from>
    <xdr:to>
      <xdr:col>7</xdr:col>
      <xdr:colOff>929640</xdr:colOff>
      <xdr:row>110</xdr:row>
      <xdr:rowOff>7620</xdr:rowOff>
    </xdr:to>
    <xdr:pic>
      <xdr:nvPicPr>
        <xdr:cNvPr id="69" name="Grafik 6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20200620"/>
          <a:ext cx="5562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350520</xdr:colOff>
      <xdr:row>106</xdr:row>
      <xdr:rowOff>30480</xdr:rowOff>
    </xdr:from>
    <xdr:to>
      <xdr:col>6</xdr:col>
      <xdr:colOff>830580</xdr:colOff>
      <xdr:row>108</xdr:row>
      <xdr:rowOff>0</xdr:rowOff>
    </xdr:to>
    <xdr:pic>
      <xdr:nvPicPr>
        <xdr:cNvPr id="70" name="Grafik 6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19667220"/>
          <a:ext cx="4800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358140</xdr:colOff>
      <xdr:row>106</xdr:row>
      <xdr:rowOff>106680</xdr:rowOff>
    </xdr:from>
    <xdr:to>
      <xdr:col>4</xdr:col>
      <xdr:colOff>853440</xdr:colOff>
      <xdr:row>107</xdr:row>
      <xdr:rowOff>91440</xdr:rowOff>
    </xdr:to>
    <xdr:pic>
      <xdr:nvPicPr>
        <xdr:cNvPr id="72" name="Grafik 7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19743420"/>
          <a:ext cx="4953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426720</xdr:colOff>
      <xdr:row>106</xdr:row>
      <xdr:rowOff>38100</xdr:rowOff>
    </xdr:from>
    <xdr:to>
      <xdr:col>5</xdr:col>
      <xdr:colOff>739140</xdr:colOff>
      <xdr:row>107</xdr:row>
      <xdr:rowOff>175260</xdr:rowOff>
    </xdr:to>
    <xdr:pic>
      <xdr:nvPicPr>
        <xdr:cNvPr id="74" name="Grafik 7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967484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281940</xdr:colOff>
      <xdr:row>109</xdr:row>
      <xdr:rowOff>15240</xdr:rowOff>
    </xdr:from>
    <xdr:to>
      <xdr:col>6</xdr:col>
      <xdr:colOff>883920</xdr:colOff>
      <xdr:row>110</xdr:row>
      <xdr:rowOff>7620</xdr:rowOff>
    </xdr:to>
    <xdr:pic>
      <xdr:nvPicPr>
        <xdr:cNvPr id="76" name="Grafik 7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20200620"/>
          <a:ext cx="6019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358140</xdr:colOff>
      <xdr:row>109</xdr:row>
      <xdr:rowOff>7620</xdr:rowOff>
    </xdr:from>
    <xdr:to>
      <xdr:col>4</xdr:col>
      <xdr:colOff>891540</xdr:colOff>
      <xdr:row>110</xdr:row>
      <xdr:rowOff>0</xdr:rowOff>
    </xdr:to>
    <xdr:pic>
      <xdr:nvPicPr>
        <xdr:cNvPr id="81" name="Grafik 8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20193000"/>
          <a:ext cx="5334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320040</xdr:colOff>
      <xdr:row>109</xdr:row>
      <xdr:rowOff>22860</xdr:rowOff>
    </xdr:from>
    <xdr:to>
      <xdr:col>5</xdr:col>
      <xdr:colOff>922020</xdr:colOff>
      <xdr:row>110</xdr:row>
      <xdr:rowOff>15240</xdr:rowOff>
    </xdr:to>
    <xdr:pic>
      <xdr:nvPicPr>
        <xdr:cNvPr id="82" name="Grafik 8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20208240"/>
          <a:ext cx="6019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335280</xdr:colOff>
      <xdr:row>94</xdr:row>
      <xdr:rowOff>22860</xdr:rowOff>
    </xdr:from>
    <xdr:to>
      <xdr:col>6</xdr:col>
      <xdr:colOff>838200</xdr:colOff>
      <xdr:row>94</xdr:row>
      <xdr:rowOff>190500</xdr:rowOff>
    </xdr:to>
    <xdr:pic>
      <xdr:nvPicPr>
        <xdr:cNvPr id="84" name="Grafik 83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7358360"/>
          <a:ext cx="5029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259080</xdr:colOff>
      <xdr:row>95</xdr:row>
      <xdr:rowOff>22860</xdr:rowOff>
    </xdr:from>
    <xdr:to>
      <xdr:col>6</xdr:col>
      <xdr:colOff>906780</xdr:colOff>
      <xdr:row>95</xdr:row>
      <xdr:rowOff>190500</xdr:rowOff>
    </xdr:to>
    <xdr:pic>
      <xdr:nvPicPr>
        <xdr:cNvPr id="88" name="Grafik 87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7564100"/>
          <a:ext cx="6477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96</xdr:row>
      <xdr:rowOff>30480</xdr:rowOff>
    </xdr:from>
    <xdr:to>
      <xdr:col>6</xdr:col>
      <xdr:colOff>899160</xdr:colOff>
      <xdr:row>96</xdr:row>
      <xdr:rowOff>198120</xdr:rowOff>
    </xdr:to>
    <xdr:pic>
      <xdr:nvPicPr>
        <xdr:cNvPr id="90" name="Grafik 8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17777460"/>
          <a:ext cx="6324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21</xdr:row>
      <xdr:rowOff>180974</xdr:rowOff>
    </xdr:from>
    <xdr:to>
      <xdr:col>7</xdr:col>
      <xdr:colOff>1246793</xdr:colOff>
      <xdr:row>32</xdr:row>
      <xdr:rowOff>76199</xdr:rowOff>
    </xdr:to>
    <xdr:pic>
      <xdr:nvPicPr>
        <xdr:cNvPr id="1025" name="Picture 1" descr="http://www.leifiphysik.de/sites/default/files/medien/zwilinge_spezrelatheorie_aus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5" y="4267199"/>
          <a:ext cx="3542318" cy="1990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53339</xdr:colOff>
      <xdr:row>44</xdr:row>
      <xdr:rowOff>75507</xdr:rowOff>
    </xdr:from>
    <xdr:to>
      <xdr:col>7</xdr:col>
      <xdr:colOff>1068704</xdr:colOff>
      <xdr:row>58</xdr:row>
      <xdr:rowOff>156986</xdr:rowOff>
    </xdr:to>
    <xdr:pic>
      <xdr:nvPicPr>
        <xdr:cNvPr id="1026" name="Picture 2" descr="http://www.leifiphysik.de/sites/default/files/medien/zwilling01_spezrelatheorie_aus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68139" y="8305107"/>
          <a:ext cx="5442585" cy="2641799"/>
        </a:xfrm>
        <a:prstGeom prst="rect">
          <a:avLst/>
        </a:prstGeom>
        <a:noFill/>
      </xdr:spPr>
    </xdr:pic>
    <xdr:clientData/>
  </xdr:twoCellAnchor>
  <xdr:twoCellAnchor>
    <xdr:from>
      <xdr:col>5</xdr:col>
      <xdr:colOff>236220</xdr:colOff>
      <xdr:row>12</xdr:row>
      <xdr:rowOff>190500</xdr:rowOff>
    </xdr:from>
    <xdr:to>
      <xdr:col>5</xdr:col>
      <xdr:colOff>1120140</xdr:colOff>
      <xdr:row>14</xdr:row>
      <xdr:rowOff>15240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440" y="2506980"/>
          <a:ext cx="88392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281940</xdr:colOff>
      <xdr:row>65</xdr:row>
      <xdr:rowOff>60960</xdr:rowOff>
    </xdr:from>
    <xdr:to>
      <xdr:col>5</xdr:col>
      <xdr:colOff>1082040</xdr:colOff>
      <xdr:row>67</xdr:row>
      <xdr:rowOff>137160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160" y="12131040"/>
          <a:ext cx="8001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198120</xdr:colOff>
      <xdr:row>68</xdr:row>
      <xdr:rowOff>129540</xdr:rowOff>
    </xdr:from>
    <xdr:to>
      <xdr:col>5</xdr:col>
      <xdr:colOff>1089660</xdr:colOff>
      <xdr:row>70</xdr:row>
      <xdr:rowOff>68580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12778740"/>
          <a:ext cx="89154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373380</xdr:colOff>
      <xdr:row>16</xdr:row>
      <xdr:rowOff>15240</xdr:rowOff>
    </xdr:from>
    <xdr:to>
      <xdr:col>5</xdr:col>
      <xdr:colOff>982980</xdr:colOff>
      <xdr:row>17</xdr:row>
      <xdr:rowOff>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3093720"/>
          <a:ext cx="6096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72</xdr:row>
      <xdr:rowOff>30480</xdr:rowOff>
    </xdr:from>
    <xdr:to>
      <xdr:col>5</xdr:col>
      <xdr:colOff>1234440</xdr:colOff>
      <xdr:row>72</xdr:row>
      <xdr:rowOff>198120</xdr:rowOff>
    </xdr:to>
    <xdr:pic>
      <xdr:nvPicPr>
        <xdr:cNvPr id="19" name="Grafik 1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820" y="13449300"/>
          <a:ext cx="10058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74</xdr:row>
      <xdr:rowOff>22860</xdr:rowOff>
    </xdr:from>
    <xdr:to>
      <xdr:col>5</xdr:col>
      <xdr:colOff>1325880</xdr:colOff>
      <xdr:row>74</xdr:row>
      <xdr:rowOff>190500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13837920"/>
          <a:ext cx="11734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</xdr:row>
      <xdr:rowOff>84535</xdr:rowOff>
    </xdr:from>
    <xdr:to>
      <xdr:col>7</xdr:col>
      <xdr:colOff>1655040</xdr:colOff>
      <xdr:row>8</xdr:row>
      <xdr:rowOff>142875</xdr:rowOff>
    </xdr:to>
    <xdr:pic>
      <xdr:nvPicPr>
        <xdr:cNvPr id="1025" name="Picture 1" descr="Bildergebnis für lorentz transformation + Bil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284560"/>
          <a:ext cx="1331190" cy="13727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356282</xdr:colOff>
      <xdr:row>4</xdr:row>
      <xdr:rowOff>46194</xdr:rowOff>
    </xdr:from>
    <xdr:to>
      <xdr:col>1</xdr:col>
      <xdr:colOff>3798674</xdr:colOff>
      <xdr:row>12</xdr:row>
      <xdr:rowOff>152400</xdr:rowOff>
    </xdr:to>
    <xdr:pic>
      <xdr:nvPicPr>
        <xdr:cNvPr id="5" name="Picture 1" descr="https://www.lernhelfer.de/sites/default/files/lexicon/image/BWS-PHY2-0036-03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0582" y="798669"/>
          <a:ext cx="3442392" cy="159210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4076700</xdr:colOff>
      <xdr:row>39</xdr:row>
      <xdr:rowOff>53341</xdr:rowOff>
    </xdr:from>
    <xdr:to>
      <xdr:col>2</xdr:col>
      <xdr:colOff>224790</xdr:colOff>
      <xdr:row>42</xdr:row>
      <xdr:rowOff>15241</xdr:rowOff>
    </xdr:to>
    <xdr:pic>
      <xdr:nvPicPr>
        <xdr:cNvPr id="2" name="Picture 1" descr="Bildergebnis fÃ¼r erde bil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1000" y="7162801"/>
          <a:ext cx="537210" cy="5257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228600</xdr:colOff>
      <xdr:row>39</xdr:row>
      <xdr:rowOff>91439</xdr:rowOff>
    </xdr:from>
    <xdr:to>
      <xdr:col>7</xdr:col>
      <xdr:colOff>278129</xdr:colOff>
      <xdr:row>42</xdr:row>
      <xdr:rowOff>12849</xdr:rowOff>
    </xdr:to>
    <xdr:pic>
      <xdr:nvPicPr>
        <xdr:cNvPr id="12" name="Picture 6" descr="Bildergebnis fÃ¼r neptun bil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52360" y="7200899"/>
          <a:ext cx="506729" cy="4852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717456</xdr:colOff>
      <xdr:row>40</xdr:row>
      <xdr:rowOff>7620</xdr:rowOff>
    </xdr:from>
    <xdr:to>
      <xdr:col>5</xdr:col>
      <xdr:colOff>121920</xdr:colOff>
      <xdr:row>43</xdr:row>
      <xdr:rowOff>125730</xdr:rowOff>
    </xdr:to>
    <xdr:pic>
      <xdr:nvPicPr>
        <xdr:cNvPr id="1032" name="Picture 8" descr="Bildergebnis fÃ¼r Raumstation Bilder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46656" y="7315200"/>
          <a:ext cx="730344" cy="6667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304800</xdr:colOff>
      <xdr:row>43</xdr:row>
      <xdr:rowOff>114300</xdr:rowOff>
    </xdr:to>
    <xdr:sp macro="" textlink="">
      <xdr:nvSpPr>
        <xdr:cNvPr id="1033" name="AutoShape 9" descr="Bildergebnis fÃ¼r Raumschiff Bilder"/>
        <xdr:cNvSpPr>
          <a:spLocks noChangeAspect="1" noChangeArrowheads="1"/>
        </xdr:cNvSpPr>
      </xdr:nvSpPr>
      <xdr:spPr bwMode="auto">
        <a:xfrm>
          <a:off x="10020300" y="7981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844059</xdr:colOff>
      <xdr:row>44</xdr:row>
      <xdr:rowOff>144780</xdr:rowOff>
    </xdr:from>
    <xdr:to>
      <xdr:col>4</xdr:col>
      <xdr:colOff>438149</xdr:colOff>
      <xdr:row>47</xdr:row>
      <xdr:rowOff>26767</xdr:rowOff>
    </xdr:to>
    <xdr:pic>
      <xdr:nvPicPr>
        <xdr:cNvPr id="18" name="Picture 10" descr="Bildergebnis fÃ¼r Raumschiff Bild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flipH="1">
          <a:off x="5873259" y="8191500"/>
          <a:ext cx="462770" cy="43062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209550</xdr:colOff>
      <xdr:row>39</xdr:row>
      <xdr:rowOff>161925</xdr:rowOff>
    </xdr:from>
    <xdr:to>
      <xdr:col>3</xdr:col>
      <xdr:colOff>171450</xdr:colOff>
      <xdr:row>42</xdr:row>
      <xdr:rowOff>62865</xdr:rowOff>
    </xdr:to>
    <xdr:pic>
      <xdr:nvPicPr>
        <xdr:cNvPr id="20" name="Picture 12" descr="Bildergebnis fÃ¼r blitz symbol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91050" y="7572375"/>
          <a:ext cx="476250" cy="476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590550</xdr:colOff>
      <xdr:row>39</xdr:row>
      <xdr:rowOff>142875</xdr:rowOff>
    </xdr:from>
    <xdr:to>
      <xdr:col>6</xdr:col>
      <xdr:colOff>219075</xdr:colOff>
      <xdr:row>42</xdr:row>
      <xdr:rowOff>43815</xdr:rowOff>
    </xdr:to>
    <xdr:pic>
      <xdr:nvPicPr>
        <xdr:cNvPr id="40" name="Picture 12" descr="Bildergebnis fÃ¼r blitz symbol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45630" y="7252335"/>
          <a:ext cx="497205" cy="464820"/>
        </a:xfrm>
        <a:prstGeom prst="rect">
          <a:avLst/>
        </a:prstGeom>
        <a:noFill/>
      </xdr:spPr>
    </xdr:pic>
    <xdr:clientData/>
  </xdr:twoCellAnchor>
  <xdr:twoCellAnchor>
    <xdr:from>
      <xdr:col>7</xdr:col>
      <xdr:colOff>640080</xdr:colOff>
      <xdr:row>28</xdr:row>
      <xdr:rowOff>30480</xdr:rowOff>
    </xdr:from>
    <xdr:to>
      <xdr:col>7</xdr:col>
      <xdr:colOff>1165860</xdr:colOff>
      <xdr:row>29</xdr:row>
      <xdr:rowOff>15240</xdr:rowOff>
    </xdr:to>
    <xdr:pic>
      <xdr:nvPicPr>
        <xdr:cNvPr id="31" name="Grafik 3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040" y="5158740"/>
          <a:ext cx="525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647700</xdr:colOff>
      <xdr:row>27</xdr:row>
      <xdr:rowOff>15240</xdr:rowOff>
    </xdr:from>
    <xdr:to>
      <xdr:col>7</xdr:col>
      <xdr:colOff>1150620</xdr:colOff>
      <xdr:row>27</xdr:row>
      <xdr:rowOff>182880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4953000"/>
          <a:ext cx="5029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647700</xdr:colOff>
      <xdr:row>30</xdr:row>
      <xdr:rowOff>7620</xdr:rowOff>
    </xdr:from>
    <xdr:to>
      <xdr:col>7</xdr:col>
      <xdr:colOff>1333500</xdr:colOff>
      <xdr:row>32</xdr:row>
      <xdr:rowOff>15240</xdr:rowOff>
    </xdr:to>
    <xdr:pic>
      <xdr:nvPicPr>
        <xdr:cNvPr id="35" name="Grafik 3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5501640"/>
          <a:ext cx="68580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533400</xdr:colOff>
      <xdr:row>52</xdr:row>
      <xdr:rowOff>22860</xdr:rowOff>
    </xdr:from>
    <xdr:to>
      <xdr:col>7</xdr:col>
      <xdr:colOff>876300</xdr:colOff>
      <xdr:row>53</xdr:row>
      <xdr:rowOff>7620</xdr:rowOff>
    </xdr:to>
    <xdr:pic>
      <xdr:nvPicPr>
        <xdr:cNvPr id="39" name="Grafik 3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4360" y="954024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533400</xdr:colOff>
      <xdr:row>53</xdr:row>
      <xdr:rowOff>30480</xdr:rowOff>
    </xdr:from>
    <xdr:to>
      <xdr:col>7</xdr:col>
      <xdr:colOff>891540</xdr:colOff>
      <xdr:row>54</xdr:row>
      <xdr:rowOff>15240</xdr:rowOff>
    </xdr:to>
    <xdr:pic>
      <xdr:nvPicPr>
        <xdr:cNvPr id="41" name="Grafik 4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4360" y="973074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556260</xdr:colOff>
      <xdr:row>51</xdr:row>
      <xdr:rowOff>22860</xdr:rowOff>
    </xdr:from>
    <xdr:to>
      <xdr:col>7</xdr:col>
      <xdr:colOff>1584960</xdr:colOff>
      <xdr:row>52</xdr:row>
      <xdr:rowOff>7620</xdr:rowOff>
    </xdr:to>
    <xdr:pic>
      <xdr:nvPicPr>
        <xdr:cNvPr id="43" name="Grafik 4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220" y="9357360"/>
          <a:ext cx="10287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502920</xdr:colOff>
      <xdr:row>54</xdr:row>
      <xdr:rowOff>30480</xdr:rowOff>
    </xdr:from>
    <xdr:to>
      <xdr:col>7</xdr:col>
      <xdr:colOff>1615440</xdr:colOff>
      <xdr:row>55</xdr:row>
      <xdr:rowOff>144780</xdr:rowOff>
    </xdr:to>
    <xdr:pic>
      <xdr:nvPicPr>
        <xdr:cNvPr id="45" name="Grafik 4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3880" y="9913620"/>
          <a:ext cx="11125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487680</xdr:colOff>
      <xdr:row>58</xdr:row>
      <xdr:rowOff>22860</xdr:rowOff>
    </xdr:from>
    <xdr:to>
      <xdr:col>7</xdr:col>
      <xdr:colOff>1546860</xdr:colOff>
      <xdr:row>59</xdr:row>
      <xdr:rowOff>15240</xdr:rowOff>
    </xdr:to>
    <xdr:pic>
      <xdr:nvPicPr>
        <xdr:cNvPr id="47" name="Grafik 4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10629900"/>
          <a:ext cx="10591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487680</xdr:colOff>
      <xdr:row>59</xdr:row>
      <xdr:rowOff>15240</xdr:rowOff>
    </xdr:from>
    <xdr:to>
      <xdr:col>7</xdr:col>
      <xdr:colOff>830580</xdr:colOff>
      <xdr:row>60</xdr:row>
      <xdr:rowOff>7620</xdr:rowOff>
    </xdr:to>
    <xdr:pic>
      <xdr:nvPicPr>
        <xdr:cNvPr id="53" name="Grafik 5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1079754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487680</xdr:colOff>
      <xdr:row>60</xdr:row>
      <xdr:rowOff>15240</xdr:rowOff>
    </xdr:from>
    <xdr:to>
      <xdr:col>7</xdr:col>
      <xdr:colOff>845820</xdr:colOff>
      <xdr:row>61</xdr:row>
      <xdr:rowOff>7620</xdr:rowOff>
    </xdr:to>
    <xdr:pic>
      <xdr:nvPicPr>
        <xdr:cNvPr id="54" name="Grafik 5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1097280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495300</xdr:colOff>
      <xdr:row>61</xdr:row>
      <xdr:rowOff>22860</xdr:rowOff>
    </xdr:from>
    <xdr:to>
      <xdr:col>7</xdr:col>
      <xdr:colOff>1645920</xdr:colOff>
      <xdr:row>62</xdr:row>
      <xdr:rowOff>160020</xdr:rowOff>
    </xdr:to>
    <xdr:pic>
      <xdr:nvPicPr>
        <xdr:cNvPr id="60" name="Grafik 59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260" y="11155680"/>
          <a:ext cx="11506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678180</xdr:colOff>
      <xdr:row>66</xdr:row>
      <xdr:rowOff>30480</xdr:rowOff>
    </xdr:from>
    <xdr:to>
      <xdr:col>7</xdr:col>
      <xdr:colOff>1417320</xdr:colOff>
      <xdr:row>66</xdr:row>
      <xdr:rowOff>198120</xdr:rowOff>
    </xdr:to>
    <xdr:pic>
      <xdr:nvPicPr>
        <xdr:cNvPr id="33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2092940"/>
          <a:ext cx="739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670560</xdr:colOff>
      <xdr:row>73</xdr:row>
      <xdr:rowOff>15240</xdr:rowOff>
    </xdr:from>
    <xdr:to>
      <xdr:col>7</xdr:col>
      <xdr:colOff>1409700</xdr:colOff>
      <xdr:row>74</xdr:row>
      <xdr:rowOff>0</xdr:rowOff>
    </xdr:to>
    <xdr:pic>
      <xdr:nvPicPr>
        <xdr:cNvPr id="36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3350240"/>
          <a:ext cx="739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670560</xdr:colOff>
      <xdr:row>67</xdr:row>
      <xdr:rowOff>15240</xdr:rowOff>
    </xdr:from>
    <xdr:to>
      <xdr:col>7</xdr:col>
      <xdr:colOff>1013460</xdr:colOff>
      <xdr:row>68</xdr:row>
      <xdr:rowOff>0</xdr:rowOff>
    </xdr:to>
    <xdr:pic>
      <xdr:nvPicPr>
        <xdr:cNvPr id="38" name="Grafik 3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228344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693420</xdr:colOff>
      <xdr:row>68</xdr:row>
      <xdr:rowOff>15240</xdr:rowOff>
    </xdr:from>
    <xdr:to>
      <xdr:col>7</xdr:col>
      <xdr:colOff>1051560</xdr:colOff>
      <xdr:row>69</xdr:row>
      <xdr:rowOff>0</xdr:rowOff>
    </xdr:to>
    <xdr:pic>
      <xdr:nvPicPr>
        <xdr:cNvPr id="44" name="Grafik 4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12466320"/>
          <a:ext cx="35814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678180</xdr:colOff>
      <xdr:row>77</xdr:row>
      <xdr:rowOff>0</xdr:rowOff>
    </xdr:from>
    <xdr:to>
      <xdr:col>7</xdr:col>
      <xdr:colOff>982980</xdr:colOff>
      <xdr:row>78</xdr:row>
      <xdr:rowOff>0</xdr:rowOff>
    </xdr:to>
    <xdr:pic>
      <xdr:nvPicPr>
        <xdr:cNvPr id="46" name="Grafik 4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4066520"/>
          <a:ext cx="3048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701040</xdr:colOff>
      <xdr:row>70</xdr:row>
      <xdr:rowOff>15240</xdr:rowOff>
    </xdr:from>
    <xdr:to>
      <xdr:col>7</xdr:col>
      <xdr:colOff>1005840</xdr:colOff>
      <xdr:row>71</xdr:row>
      <xdr:rowOff>0</xdr:rowOff>
    </xdr:to>
    <xdr:pic>
      <xdr:nvPicPr>
        <xdr:cNvPr id="48" name="Grafik 47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2832080"/>
          <a:ext cx="3048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670560</xdr:colOff>
      <xdr:row>74</xdr:row>
      <xdr:rowOff>7620</xdr:rowOff>
    </xdr:from>
    <xdr:to>
      <xdr:col>7</xdr:col>
      <xdr:colOff>1013460</xdr:colOff>
      <xdr:row>74</xdr:row>
      <xdr:rowOff>175260</xdr:rowOff>
    </xdr:to>
    <xdr:pic>
      <xdr:nvPicPr>
        <xdr:cNvPr id="50" name="Grafik 4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3525500"/>
          <a:ext cx="342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670560</xdr:colOff>
      <xdr:row>75</xdr:row>
      <xdr:rowOff>15240</xdr:rowOff>
    </xdr:from>
    <xdr:to>
      <xdr:col>7</xdr:col>
      <xdr:colOff>998220</xdr:colOff>
      <xdr:row>75</xdr:row>
      <xdr:rowOff>182880</xdr:rowOff>
    </xdr:to>
    <xdr:pic>
      <xdr:nvPicPr>
        <xdr:cNvPr id="52" name="Grafik 5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520" y="13716000"/>
          <a:ext cx="3276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177167</xdr:colOff>
      <xdr:row>8</xdr:row>
      <xdr:rowOff>170719</xdr:rowOff>
    </xdr:from>
    <xdr:to>
      <xdr:col>3</xdr:col>
      <xdr:colOff>1043940</xdr:colOff>
      <xdr:row>19</xdr:row>
      <xdr:rowOff>169363</xdr:rowOff>
    </xdr:to>
    <xdr:pic>
      <xdr:nvPicPr>
        <xdr:cNvPr id="4" name="Picture 3" descr="http://walter.bislins.ch/blog/media/Raket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7" y="1717579"/>
          <a:ext cx="5073013" cy="202556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80</xdr:row>
      <xdr:rowOff>28575</xdr:rowOff>
    </xdr:from>
    <xdr:to>
      <xdr:col>3</xdr:col>
      <xdr:colOff>1133475</xdr:colOff>
      <xdr:row>81</xdr:row>
      <xdr:rowOff>180975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15306675"/>
          <a:ext cx="885825" cy="352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133350</xdr:colOff>
      <xdr:row>69</xdr:row>
      <xdr:rowOff>28575</xdr:rowOff>
    </xdr:from>
    <xdr:to>
      <xdr:col>7</xdr:col>
      <xdr:colOff>1076325</xdr:colOff>
      <xdr:row>71</xdr:row>
      <xdr:rowOff>152400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43625" y="13773150"/>
          <a:ext cx="285750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266700</xdr:colOff>
      <xdr:row>62</xdr:row>
      <xdr:rowOff>38100</xdr:rowOff>
    </xdr:from>
    <xdr:to>
      <xdr:col>7</xdr:col>
      <xdr:colOff>942975</xdr:colOff>
      <xdr:row>65</xdr:row>
      <xdr:rowOff>152400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76975" y="12153900"/>
          <a:ext cx="2590800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85725</xdr:colOff>
      <xdr:row>62</xdr:row>
      <xdr:rowOff>114300</xdr:rowOff>
    </xdr:from>
    <xdr:to>
      <xdr:col>3</xdr:col>
      <xdr:colOff>1333500</xdr:colOff>
      <xdr:row>65</xdr:row>
      <xdr:rowOff>76200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81475" y="12287250"/>
          <a:ext cx="1247775" cy="561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85725</xdr:colOff>
      <xdr:row>52</xdr:row>
      <xdr:rowOff>95250</xdr:rowOff>
    </xdr:from>
    <xdr:to>
      <xdr:col>7</xdr:col>
      <xdr:colOff>1104900</xdr:colOff>
      <xdr:row>55</xdr:row>
      <xdr:rowOff>104775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0" y="10039350"/>
          <a:ext cx="2933700" cy="609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52</xdr:row>
      <xdr:rowOff>68580</xdr:rowOff>
    </xdr:from>
    <xdr:to>
      <xdr:col>3</xdr:col>
      <xdr:colOff>1276350</xdr:colOff>
      <xdr:row>55</xdr:row>
      <xdr:rowOff>135255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63340" y="9906000"/>
          <a:ext cx="1680210" cy="66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333375</xdr:colOff>
      <xdr:row>44</xdr:row>
      <xdr:rowOff>123825</xdr:rowOff>
    </xdr:from>
    <xdr:to>
      <xdr:col>7</xdr:col>
      <xdr:colOff>819150</xdr:colOff>
      <xdr:row>47</xdr:row>
      <xdr:rowOff>76200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43650" y="8486775"/>
          <a:ext cx="2400300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142875</xdr:colOff>
      <xdr:row>44</xdr:row>
      <xdr:rowOff>133350</xdr:rowOff>
    </xdr:from>
    <xdr:to>
      <xdr:col>3</xdr:col>
      <xdr:colOff>1247775</xdr:colOff>
      <xdr:row>47</xdr:row>
      <xdr:rowOff>76200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38625" y="8496300"/>
          <a:ext cx="1104900" cy="542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381000</xdr:colOff>
      <xdr:row>88</xdr:row>
      <xdr:rowOff>47625</xdr:rowOff>
    </xdr:from>
    <xdr:to>
      <xdr:col>3</xdr:col>
      <xdr:colOff>1057275</xdr:colOff>
      <xdr:row>89</xdr:row>
      <xdr:rowOff>152400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0" y="17392650"/>
          <a:ext cx="67627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</xdr:colOff>
      <xdr:row>87</xdr:row>
      <xdr:rowOff>38100</xdr:rowOff>
    </xdr:from>
    <xdr:to>
      <xdr:col>6</xdr:col>
      <xdr:colOff>476250</xdr:colOff>
      <xdr:row>90</xdr:row>
      <xdr:rowOff>180975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48375" y="17183100"/>
          <a:ext cx="1838325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123825</xdr:colOff>
      <xdr:row>95</xdr:row>
      <xdr:rowOff>9525</xdr:rowOff>
    </xdr:from>
    <xdr:to>
      <xdr:col>8</xdr:col>
      <xdr:colOff>323849</xdr:colOff>
      <xdr:row>98</xdr:row>
      <xdr:rowOff>190500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134100" y="18802350"/>
          <a:ext cx="3295649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123825</xdr:colOff>
      <xdr:row>95</xdr:row>
      <xdr:rowOff>66675</xdr:rowOff>
    </xdr:from>
    <xdr:to>
      <xdr:col>3</xdr:col>
      <xdr:colOff>1323975</xdr:colOff>
      <xdr:row>98</xdr:row>
      <xdr:rowOff>133350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391025" y="18209895"/>
          <a:ext cx="1200150" cy="668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91440</xdr:colOff>
      <xdr:row>105</xdr:row>
      <xdr:rowOff>17145</xdr:rowOff>
    </xdr:from>
    <xdr:to>
      <xdr:col>3</xdr:col>
      <xdr:colOff>1339215</xdr:colOff>
      <xdr:row>108</xdr:row>
      <xdr:rowOff>160020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58640" y="20072985"/>
          <a:ext cx="1247775" cy="691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180975</xdr:colOff>
      <xdr:row>105</xdr:row>
      <xdr:rowOff>19050</xdr:rowOff>
    </xdr:from>
    <xdr:to>
      <xdr:col>8</xdr:col>
      <xdr:colOff>304800</xdr:colOff>
      <xdr:row>108</xdr:row>
      <xdr:rowOff>161925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91250" y="20774025"/>
          <a:ext cx="3219450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200025</xdr:colOff>
      <xdr:row>79</xdr:row>
      <xdr:rowOff>85725</xdr:rowOff>
    </xdr:from>
    <xdr:to>
      <xdr:col>6</xdr:col>
      <xdr:colOff>352425</xdr:colOff>
      <xdr:row>82</xdr:row>
      <xdr:rowOff>114300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210300" y="15601950"/>
          <a:ext cx="1552575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74295</xdr:colOff>
      <xdr:row>69</xdr:row>
      <xdr:rowOff>45720</xdr:rowOff>
    </xdr:from>
    <xdr:to>
      <xdr:col>3</xdr:col>
      <xdr:colOff>1350645</xdr:colOff>
      <xdr:row>71</xdr:row>
      <xdr:rowOff>160020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747135" y="13136880"/>
          <a:ext cx="1870710" cy="5105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89285</xdr:colOff>
      <xdr:row>153</xdr:row>
      <xdr:rowOff>183678</xdr:rowOff>
    </xdr:from>
    <xdr:to>
      <xdr:col>3</xdr:col>
      <xdr:colOff>428625</xdr:colOff>
      <xdr:row>185</xdr:row>
      <xdr:rowOff>180975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6435" y="30396978"/>
          <a:ext cx="4435090" cy="6093297"/>
        </a:xfrm>
        <a:prstGeom prst="rect">
          <a:avLst/>
        </a:prstGeom>
      </xdr:spPr>
    </xdr:pic>
    <xdr:clientData/>
  </xdr:twoCellAnchor>
  <xdr:twoCellAnchor editAs="oneCell">
    <xdr:from>
      <xdr:col>3</xdr:col>
      <xdr:colOff>682858</xdr:colOff>
      <xdr:row>152</xdr:row>
      <xdr:rowOff>184146</xdr:rowOff>
    </xdr:from>
    <xdr:to>
      <xdr:col>8</xdr:col>
      <xdr:colOff>419099</xdr:colOff>
      <xdr:row>169</xdr:row>
      <xdr:rowOff>88</xdr:rowOff>
    </xdr:to>
    <xdr:pic>
      <xdr:nvPicPr>
        <xdr:cNvPr id="2049" name="Picture 1" descr="Juij Milner (links) und Stephen Hawking: &quot;Früher oder später müssen wir die Sterne ins Visier nehmen&quot;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835758" y="30206946"/>
          <a:ext cx="4746391" cy="305444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682581</xdr:colOff>
      <xdr:row>174</xdr:row>
      <xdr:rowOff>87630</xdr:rowOff>
    </xdr:from>
    <xdr:to>
      <xdr:col>8</xdr:col>
      <xdr:colOff>416146</xdr:colOff>
      <xdr:row>184</xdr:row>
      <xdr:rowOff>163829</xdr:rowOff>
    </xdr:to>
    <xdr:pic>
      <xdr:nvPicPr>
        <xdr:cNvPr id="2050" name="Picture 2" descr="Ziele außerhalb des Sonnensystems: 4,3 Lichtjahre bis Alpha Centauri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949781" y="33150810"/>
          <a:ext cx="4877065" cy="19049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190500</xdr:colOff>
      <xdr:row>25</xdr:row>
      <xdr:rowOff>28575</xdr:rowOff>
    </xdr:from>
    <xdr:to>
      <xdr:col>1</xdr:col>
      <xdr:colOff>3333750</xdr:colOff>
      <xdr:row>31</xdr:row>
      <xdr:rowOff>171450</xdr:rowOff>
    </xdr:to>
    <xdr:pic>
      <xdr:nvPicPr>
        <xdr:cNvPr id="1025" name="Picture 1" descr="Bildergebnis für alpha-centauri bilder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0" y="4981575"/>
          <a:ext cx="3143250" cy="12858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304800</xdr:colOff>
      <xdr:row>137</xdr:row>
      <xdr:rowOff>15240</xdr:rowOff>
    </xdr:from>
    <xdr:to>
      <xdr:col>5</xdr:col>
      <xdr:colOff>1104900</xdr:colOff>
      <xdr:row>137</xdr:row>
      <xdr:rowOff>182880</xdr:rowOff>
    </xdr:to>
    <xdr:pic>
      <xdr:nvPicPr>
        <xdr:cNvPr id="27" name="Grafik 26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26212800"/>
          <a:ext cx="8001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236220</xdr:colOff>
      <xdr:row>139</xdr:row>
      <xdr:rowOff>22860</xdr:rowOff>
    </xdr:from>
    <xdr:to>
      <xdr:col>5</xdr:col>
      <xdr:colOff>1143000</xdr:colOff>
      <xdr:row>139</xdr:row>
      <xdr:rowOff>190500</xdr:rowOff>
    </xdr:to>
    <xdr:pic>
      <xdr:nvPicPr>
        <xdr:cNvPr id="29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9380" y="26616660"/>
          <a:ext cx="906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419100</xdr:colOff>
      <xdr:row>141</xdr:row>
      <xdr:rowOff>30480</xdr:rowOff>
    </xdr:from>
    <xdr:to>
      <xdr:col>5</xdr:col>
      <xdr:colOff>1036320</xdr:colOff>
      <xdr:row>142</xdr:row>
      <xdr:rowOff>0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27020520"/>
          <a:ext cx="6172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327660</xdr:colOff>
      <xdr:row>143</xdr:row>
      <xdr:rowOff>22860</xdr:rowOff>
    </xdr:from>
    <xdr:to>
      <xdr:col>5</xdr:col>
      <xdr:colOff>1089660</xdr:colOff>
      <xdr:row>143</xdr:row>
      <xdr:rowOff>190500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7409140"/>
          <a:ext cx="7620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145</xdr:row>
      <xdr:rowOff>22860</xdr:rowOff>
    </xdr:from>
    <xdr:to>
      <xdr:col>5</xdr:col>
      <xdr:colOff>1066800</xdr:colOff>
      <xdr:row>145</xdr:row>
      <xdr:rowOff>190500</xdr:rowOff>
    </xdr:to>
    <xdr:pic>
      <xdr:nvPicPr>
        <xdr:cNvPr id="34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4160" y="27805380"/>
          <a:ext cx="6858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274320</xdr:colOff>
      <xdr:row>147</xdr:row>
      <xdr:rowOff>22860</xdr:rowOff>
    </xdr:from>
    <xdr:to>
      <xdr:col>5</xdr:col>
      <xdr:colOff>1150620</xdr:colOff>
      <xdr:row>147</xdr:row>
      <xdr:rowOff>190500</xdr:rowOff>
    </xdr:to>
    <xdr:pic>
      <xdr:nvPicPr>
        <xdr:cNvPr id="38" name="Grafik 3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28194000"/>
          <a:ext cx="8763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388620</xdr:colOff>
      <xdr:row>133</xdr:row>
      <xdr:rowOff>22860</xdr:rowOff>
    </xdr:from>
    <xdr:to>
      <xdr:col>5</xdr:col>
      <xdr:colOff>1150620</xdr:colOff>
      <xdr:row>133</xdr:row>
      <xdr:rowOff>190500</xdr:rowOff>
    </xdr:to>
    <xdr:pic>
      <xdr:nvPicPr>
        <xdr:cNvPr id="40" name="Grafik 3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25427940"/>
          <a:ext cx="7620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182880</xdr:colOff>
      <xdr:row>134</xdr:row>
      <xdr:rowOff>68580</xdr:rowOff>
    </xdr:from>
    <xdr:to>
      <xdr:col>5</xdr:col>
      <xdr:colOff>1234440</xdr:colOff>
      <xdr:row>136</xdr:row>
      <xdr:rowOff>152400</xdr:rowOff>
    </xdr:to>
    <xdr:pic>
      <xdr:nvPicPr>
        <xdr:cNvPr id="42" name="Grafik 4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6040" y="25679400"/>
          <a:ext cx="105156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754380</xdr:colOff>
      <xdr:row>41</xdr:row>
      <xdr:rowOff>45720</xdr:rowOff>
    </xdr:from>
    <xdr:to>
      <xdr:col>5</xdr:col>
      <xdr:colOff>1607820</xdr:colOff>
      <xdr:row>42</xdr:row>
      <xdr:rowOff>167640</xdr:rowOff>
    </xdr:to>
    <xdr:pic>
      <xdr:nvPicPr>
        <xdr:cNvPr id="20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7734300"/>
          <a:ext cx="8534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426720</xdr:colOff>
      <xdr:row>46</xdr:row>
      <xdr:rowOff>45720</xdr:rowOff>
    </xdr:from>
    <xdr:to>
      <xdr:col>5</xdr:col>
      <xdr:colOff>1965960</xdr:colOff>
      <xdr:row>48</xdr:row>
      <xdr:rowOff>137160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8080" y="8686800"/>
          <a:ext cx="153924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365760</xdr:colOff>
      <xdr:row>52</xdr:row>
      <xdr:rowOff>45720</xdr:rowOff>
    </xdr:from>
    <xdr:to>
      <xdr:col>5</xdr:col>
      <xdr:colOff>1927860</xdr:colOff>
      <xdr:row>54</xdr:row>
      <xdr:rowOff>137160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7120" y="9829800"/>
          <a:ext cx="15621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297180</xdr:colOff>
      <xdr:row>60</xdr:row>
      <xdr:rowOff>38100</xdr:rowOff>
    </xdr:from>
    <xdr:to>
      <xdr:col>5</xdr:col>
      <xdr:colOff>2148840</xdr:colOff>
      <xdr:row>62</xdr:row>
      <xdr:rowOff>152400</xdr:rowOff>
    </xdr:to>
    <xdr:pic>
      <xdr:nvPicPr>
        <xdr:cNvPr id="31" name="Grafik 3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540" y="11346180"/>
          <a:ext cx="185166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746760</xdr:colOff>
      <xdr:row>73</xdr:row>
      <xdr:rowOff>45720</xdr:rowOff>
    </xdr:from>
    <xdr:to>
      <xdr:col>5</xdr:col>
      <xdr:colOff>1478280</xdr:colOff>
      <xdr:row>75</xdr:row>
      <xdr:rowOff>0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13761720"/>
          <a:ext cx="7315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906780</xdr:colOff>
      <xdr:row>81</xdr:row>
      <xdr:rowOff>30480</xdr:rowOff>
    </xdr:from>
    <xdr:to>
      <xdr:col>5</xdr:col>
      <xdr:colOff>1386840</xdr:colOff>
      <xdr:row>82</xdr:row>
      <xdr:rowOff>175260</xdr:rowOff>
    </xdr:to>
    <xdr:pic>
      <xdr:nvPicPr>
        <xdr:cNvPr id="34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140" y="15438120"/>
          <a:ext cx="4800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777240</xdr:colOff>
      <xdr:row>89</xdr:row>
      <xdr:rowOff>22860</xdr:rowOff>
    </xdr:from>
    <xdr:to>
      <xdr:col>5</xdr:col>
      <xdr:colOff>1524000</xdr:colOff>
      <xdr:row>90</xdr:row>
      <xdr:rowOff>0</xdr:rowOff>
    </xdr:to>
    <xdr:pic>
      <xdr:nvPicPr>
        <xdr:cNvPr id="36" name="Grafik 3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954500"/>
          <a:ext cx="7467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754380</xdr:colOff>
      <xdr:row>91</xdr:row>
      <xdr:rowOff>30480</xdr:rowOff>
    </xdr:from>
    <xdr:to>
      <xdr:col>5</xdr:col>
      <xdr:colOff>1249680</xdr:colOff>
      <xdr:row>92</xdr:row>
      <xdr:rowOff>175260</xdr:rowOff>
    </xdr:to>
    <xdr:pic>
      <xdr:nvPicPr>
        <xdr:cNvPr id="40" name="Grafik 3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17343120"/>
          <a:ext cx="4953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670560</xdr:colOff>
      <xdr:row>99</xdr:row>
      <xdr:rowOff>30480</xdr:rowOff>
    </xdr:from>
    <xdr:to>
      <xdr:col>5</xdr:col>
      <xdr:colOff>1257300</xdr:colOff>
      <xdr:row>100</xdr:row>
      <xdr:rowOff>175260</xdr:rowOff>
    </xdr:to>
    <xdr:pic>
      <xdr:nvPicPr>
        <xdr:cNvPr id="41" name="Grafik 4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18798540"/>
          <a:ext cx="58674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723900</xdr:colOff>
      <xdr:row>102</xdr:row>
      <xdr:rowOff>15240</xdr:rowOff>
    </xdr:from>
    <xdr:to>
      <xdr:col>5</xdr:col>
      <xdr:colOff>1531620</xdr:colOff>
      <xdr:row>102</xdr:row>
      <xdr:rowOff>182880</xdr:rowOff>
    </xdr:to>
    <xdr:pic>
      <xdr:nvPicPr>
        <xdr:cNvPr id="45" name="Grafik 44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5260" y="19354800"/>
          <a:ext cx="8077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563880</xdr:colOff>
      <xdr:row>108</xdr:row>
      <xdr:rowOff>121920</xdr:rowOff>
    </xdr:from>
    <xdr:to>
      <xdr:col>5</xdr:col>
      <xdr:colOff>1813560</xdr:colOff>
      <xdr:row>110</xdr:row>
      <xdr:rowOff>53340</xdr:rowOff>
    </xdr:to>
    <xdr:pic>
      <xdr:nvPicPr>
        <xdr:cNvPr id="47" name="Grafik 46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" y="20276820"/>
          <a:ext cx="12496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518160</xdr:colOff>
      <xdr:row>22</xdr:row>
      <xdr:rowOff>38100</xdr:rowOff>
    </xdr:from>
    <xdr:to>
      <xdr:col>5</xdr:col>
      <xdr:colOff>1455420</xdr:colOff>
      <xdr:row>23</xdr:row>
      <xdr:rowOff>160020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4244340"/>
          <a:ext cx="9372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701040</xdr:colOff>
      <xdr:row>26</xdr:row>
      <xdr:rowOff>60960</xdr:rowOff>
    </xdr:from>
    <xdr:to>
      <xdr:col>5</xdr:col>
      <xdr:colOff>1120140</xdr:colOff>
      <xdr:row>27</xdr:row>
      <xdr:rowOff>152400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4998720"/>
          <a:ext cx="4191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9525</xdr:rowOff>
    </xdr:from>
    <xdr:to>
      <xdr:col>11</xdr:col>
      <xdr:colOff>0</xdr:colOff>
      <xdr:row>25</xdr:row>
      <xdr:rowOff>85725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010400" y="3705225"/>
          <a:ext cx="514350" cy="3143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198120</xdr:colOff>
      <xdr:row>56</xdr:row>
      <xdr:rowOff>190500</xdr:rowOff>
    </xdr:from>
    <xdr:to>
      <xdr:col>5</xdr:col>
      <xdr:colOff>701040</xdr:colOff>
      <xdr:row>58</xdr:row>
      <xdr:rowOff>114300</xdr:rowOff>
    </xdr:to>
    <xdr:pic>
      <xdr:nvPicPr>
        <xdr:cNvPr id="17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10881360"/>
          <a:ext cx="5029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167640</xdr:colOff>
      <xdr:row>57</xdr:row>
      <xdr:rowOff>45720</xdr:rowOff>
    </xdr:from>
    <xdr:to>
      <xdr:col>6</xdr:col>
      <xdr:colOff>891540</xdr:colOff>
      <xdr:row>58</xdr:row>
      <xdr:rowOff>7620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940" y="10942320"/>
          <a:ext cx="7239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228600</xdr:colOff>
      <xdr:row>56</xdr:row>
      <xdr:rowOff>175260</xdr:rowOff>
    </xdr:from>
    <xdr:to>
      <xdr:col>7</xdr:col>
      <xdr:colOff>685800</xdr:colOff>
      <xdr:row>58</xdr:row>
      <xdr:rowOff>99060</xdr:rowOff>
    </xdr:to>
    <xdr:pic>
      <xdr:nvPicPr>
        <xdr:cNvPr id="22" name="Grafik 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10866120"/>
          <a:ext cx="4572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53340</xdr:colOff>
      <xdr:row>56</xdr:row>
      <xdr:rowOff>182880</xdr:rowOff>
    </xdr:from>
    <xdr:to>
      <xdr:col>10</xdr:col>
      <xdr:colOff>952500</xdr:colOff>
      <xdr:row>58</xdr:row>
      <xdr:rowOff>83820</xdr:rowOff>
    </xdr:to>
    <xdr:pic>
      <xdr:nvPicPr>
        <xdr:cNvPr id="24" name="Grafik 2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10690860"/>
          <a:ext cx="8991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167640</xdr:colOff>
      <xdr:row>56</xdr:row>
      <xdr:rowOff>152400</xdr:rowOff>
    </xdr:from>
    <xdr:to>
      <xdr:col>8</xdr:col>
      <xdr:colOff>685800</xdr:colOff>
      <xdr:row>58</xdr:row>
      <xdr:rowOff>76200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0850880"/>
          <a:ext cx="5181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</xdr:colOff>
      <xdr:row>56</xdr:row>
      <xdr:rowOff>182880</xdr:rowOff>
    </xdr:from>
    <xdr:to>
      <xdr:col>3</xdr:col>
      <xdr:colOff>822960</xdr:colOff>
      <xdr:row>58</xdr:row>
      <xdr:rowOff>53340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" y="10690860"/>
          <a:ext cx="7772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121920</xdr:colOff>
      <xdr:row>57</xdr:row>
      <xdr:rowOff>53340</xdr:rowOff>
    </xdr:from>
    <xdr:to>
      <xdr:col>9</xdr:col>
      <xdr:colOff>853440</xdr:colOff>
      <xdr:row>58</xdr:row>
      <xdr:rowOff>15240</xdr:rowOff>
    </xdr:to>
    <xdr:pic>
      <xdr:nvPicPr>
        <xdr:cNvPr id="35" name="Grafik 3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160" y="10949940"/>
          <a:ext cx="7315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53340</xdr:colOff>
      <xdr:row>56</xdr:row>
      <xdr:rowOff>152400</xdr:rowOff>
    </xdr:from>
    <xdr:to>
      <xdr:col>2</xdr:col>
      <xdr:colOff>815340</xdr:colOff>
      <xdr:row>58</xdr:row>
      <xdr:rowOff>190500</xdr:rowOff>
    </xdr:to>
    <xdr:pic>
      <xdr:nvPicPr>
        <xdr:cNvPr id="18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660380"/>
          <a:ext cx="76200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15</xdr:col>
      <xdr:colOff>586740</xdr:colOff>
      <xdr:row>33</xdr:row>
      <xdr:rowOff>76200</xdr:rowOff>
    </xdr:to>
    <xdr:sp macro="" textlink="">
      <xdr:nvSpPr>
        <xdr:cNvPr id="8198" name="AutoShape 6" descr="Spaghettisierung – Wikipedia"/>
        <xdr:cNvSpPr>
          <a:spLocks noChangeAspect="1" noChangeArrowheads="1"/>
        </xdr:cNvSpPr>
      </xdr:nvSpPr>
      <xdr:spPr bwMode="auto">
        <a:xfrm>
          <a:off x="11871960" y="4457700"/>
          <a:ext cx="1379220" cy="173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754379</xdr:colOff>
      <xdr:row>14</xdr:row>
      <xdr:rowOff>196300</xdr:rowOff>
    </xdr:from>
    <xdr:to>
      <xdr:col>3</xdr:col>
      <xdr:colOff>838482</xdr:colOff>
      <xdr:row>28</xdr:row>
      <xdr:rowOff>32261</xdr:rowOff>
    </xdr:to>
    <xdr:pic>
      <xdr:nvPicPr>
        <xdr:cNvPr id="23" name="Grafik 22" descr="upload.wikimedia.org/wikipedia/commons/thumb/f/...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39" y="2931880"/>
          <a:ext cx="1973863" cy="2464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350520</xdr:colOff>
      <xdr:row>29</xdr:row>
      <xdr:rowOff>60960</xdr:rowOff>
    </xdr:from>
    <xdr:to>
      <xdr:col>9</xdr:col>
      <xdr:colOff>617220</xdr:colOff>
      <xdr:row>30</xdr:row>
      <xdr:rowOff>160020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0540" y="5448300"/>
          <a:ext cx="2667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899160</xdr:colOff>
      <xdr:row>31</xdr:row>
      <xdr:rowOff>45720</xdr:rowOff>
    </xdr:from>
    <xdr:to>
      <xdr:col>9</xdr:col>
      <xdr:colOff>853440</xdr:colOff>
      <xdr:row>32</xdr:row>
      <xdr:rowOff>175260</xdr:rowOff>
    </xdr:to>
    <xdr:pic>
      <xdr:nvPicPr>
        <xdr:cNvPr id="20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5798820"/>
          <a:ext cx="93726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56</xdr:row>
      <xdr:rowOff>167640</xdr:rowOff>
    </xdr:from>
    <xdr:to>
      <xdr:col>4</xdr:col>
      <xdr:colOff>800100</xdr:colOff>
      <xdr:row>58</xdr:row>
      <xdr:rowOff>91440</xdr:rowOff>
    </xdr:to>
    <xdr:pic>
      <xdr:nvPicPr>
        <xdr:cNvPr id="25" name="Grafik 2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" y="10683240"/>
          <a:ext cx="7239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152400</xdr:rowOff>
    </xdr:from>
    <xdr:to>
      <xdr:col>1</xdr:col>
      <xdr:colOff>1905000</xdr:colOff>
      <xdr:row>34</xdr:row>
      <xdr:rowOff>131445</xdr:rowOff>
    </xdr:to>
    <xdr:pic>
      <xdr:nvPicPr>
        <xdr:cNvPr id="1025" name="Picture 1" descr="https://upload.wikimedia.org/wikipedia/de/timeline/998d2c2f8228454f1753f89ff05bae7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609600"/>
          <a:ext cx="1905000" cy="6096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1916430</xdr:colOff>
      <xdr:row>2</xdr:row>
      <xdr:rowOff>108585</xdr:rowOff>
    </xdr:from>
    <xdr:to>
      <xdr:col>1</xdr:col>
      <xdr:colOff>2583180</xdr:colOff>
      <xdr:row>6</xdr:row>
      <xdr:rowOff>1905</xdr:rowOff>
    </xdr:to>
    <xdr:pic>
      <xdr:nvPicPr>
        <xdr:cNvPr id="1036" name="Picture 12" descr="Neptune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30730" y="527685"/>
          <a:ext cx="666750" cy="6400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1905000</xdr:colOff>
      <xdr:row>6</xdr:row>
      <xdr:rowOff>102870</xdr:rowOff>
    </xdr:from>
    <xdr:to>
      <xdr:col>1</xdr:col>
      <xdr:colOff>2571750</xdr:colOff>
      <xdr:row>10</xdr:row>
      <xdr:rowOff>15240</xdr:rowOff>
    </xdr:to>
    <xdr:pic>
      <xdr:nvPicPr>
        <xdr:cNvPr id="1037" name="Picture 13" descr="Uranus2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19300" y="1276350"/>
          <a:ext cx="666750" cy="6438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1903095</xdr:colOff>
      <xdr:row>10</xdr:row>
      <xdr:rowOff>118110</xdr:rowOff>
    </xdr:from>
    <xdr:to>
      <xdr:col>1</xdr:col>
      <xdr:colOff>2569845</xdr:colOff>
      <xdr:row>16</xdr:row>
      <xdr:rowOff>11430</xdr:rowOff>
    </xdr:to>
    <xdr:pic>
      <xdr:nvPicPr>
        <xdr:cNvPr id="1038" name="Picture 14" descr="Saturn (planet) large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17395" y="2023110"/>
          <a:ext cx="666750" cy="10134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1895475</xdr:colOff>
      <xdr:row>16</xdr:row>
      <xdr:rowOff>116205</xdr:rowOff>
    </xdr:from>
    <xdr:to>
      <xdr:col>1</xdr:col>
      <xdr:colOff>2562225</xdr:colOff>
      <xdr:row>20</xdr:row>
      <xdr:rowOff>28575</xdr:rowOff>
    </xdr:to>
    <xdr:pic>
      <xdr:nvPicPr>
        <xdr:cNvPr id="1039" name="Picture 15" descr="Jupiter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9775" y="3141345"/>
          <a:ext cx="666750" cy="6438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1901190</xdr:colOff>
      <xdr:row>20</xdr:row>
      <xdr:rowOff>152400</xdr:rowOff>
    </xdr:from>
    <xdr:to>
      <xdr:col>1</xdr:col>
      <xdr:colOff>2567940</xdr:colOff>
      <xdr:row>24</xdr:row>
      <xdr:rowOff>64770</xdr:rowOff>
    </xdr:to>
    <xdr:pic>
      <xdr:nvPicPr>
        <xdr:cNvPr id="1040" name="Picture 16" descr="Mars Valles Marineris.jpe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15490" y="3909060"/>
          <a:ext cx="666750" cy="6438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1901190</xdr:colOff>
      <xdr:row>24</xdr:row>
      <xdr:rowOff>180975</xdr:rowOff>
    </xdr:from>
    <xdr:to>
      <xdr:col>1</xdr:col>
      <xdr:colOff>2567940</xdr:colOff>
      <xdr:row>28</xdr:row>
      <xdr:rowOff>93345</xdr:rowOff>
    </xdr:to>
    <xdr:pic>
      <xdr:nvPicPr>
        <xdr:cNvPr id="1041" name="Picture 17" descr="The Earth seen from Apollo 17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15490" y="4669155"/>
          <a:ext cx="666750" cy="6438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1901190</xdr:colOff>
      <xdr:row>29</xdr:row>
      <xdr:rowOff>13335</xdr:rowOff>
    </xdr:from>
    <xdr:to>
      <xdr:col>1</xdr:col>
      <xdr:colOff>2567940</xdr:colOff>
      <xdr:row>32</xdr:row>
      <xdr:rowOff>100965</xdr:rowOff>
    </xdr:to>
    <xdr:pic>
      <xdr:nvPicPr>
        <xdr:cNvPr id="1042" name="Picture 18" descr="Venus globe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5490" y="5415915"/>
          <a:ext cx="666750" cy="6362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1897380</xdr:colOff>
      <xdr:row>33</xdr:row>
      <xdr:rowOff>32385</xdr:rowOff>
    </xdr:from>
    <xdr:to>
      <xdr:col>1</xdr:col>
      <xdr:colOff>2564130</xdr:colOff>
      <xdr:row>36</xdr:row>
      <xdr:rowOff>120015</xdr:rowOff>
    </xdr:to>
    <xdr:pic>
      <xdr:nvPicPr>
        <xdr:cNvPr id="1043" name="Picture 19" descr="Reprocessed Mariner 10 image of Mercury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11680" y="6166485"/>
          <a:ext cx="666750" cy="6362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502920</xdr:colOff>
      <xdr:row>39</xdr:row>
      <xdr:rowOff>11109</xdr:rowOff>
    </xdr:from>
    <xdr:to>
      <xdr:col>1</xdr:col>
      <xdr:colOff>3105099</xdr:colOff>
      <xdr:row>58</xdr:row>
      <xdr:rowOff>30479</xdr:rowOff>
    </xdr:to>
    <xdr:pic>
      <xdr:nvPicPr>
        <xdr:cNvPr id="1032" name="Picture 8" descr="https://upload.wikimedia.org/wikipedia/commons/thumb/7/78/FusionintheSun.svg/678px-FusionintheSun.svg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7220" y="7272969"/>
          <a:ext cx="2602179" cy="36693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304800</xdr:colOff>
      <xdr:row>59</xdr:row>
      <xdr:rowOff>104775</xdr:rowOff>
    </xdr:to>
    <xdr:sp macro="" textlink="">
      <xdr:nvSpPr>
        <xdr:cNvPr id="1033" name="AutoShape 9" descr="{\displaystyle \mathrm {{}^{1}H+{}^{1}H\to {}^{2}H+e^{+}+\nu _{e}+0{,}42\;MeV} }"/>
        <xdr:cNvSpPr>
          <a:spLocks noChangeAspect="1" noChangeArrowheads="1"/>
        </xdr:cNvSpPr>
      </xdr:nvSpPr>
      <xdr:spPr bwMode="auto">
        <a:xfrm>
          <a:off x="8448675" y="11315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304800</xdr:colOff>
      <xdr:row>59</xdr:row>
      <xdr:rowOff>104775</xdr:rowOff>
    </xdr:to>
    <xdr:sp macro="" textlink="">
      <xdr:nvSpPr>
        <xdr:cNvPr id="1034" name="AutoShape 10" descr="{\displaystyle \mathrm {{}^{1}H+{}^{1}H\to {}^{2}H+e^{+}+\nu _{e}+0{,}42\;MeV} }"/>
        <xdr:cNvSpPr>
          <a:spLocks noChangeAspect="1" noChangeArrowheads="1"/>
        </xdr:cNvSpPr>
      </xdr:nvSpPr>
      <xdr:spPr bwMode="auto">
        <a:xfrm>
          <a:off x="8448675" y="11315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19050</xdr:colOff>
      <xdr:row>149</xdr:row>
      <xdr:rowOff>19050</xdr:rowOff>
    </xdr:from>
    <xdr:to>
      <xdr:col>1</xdr:col>
      <xdr:colOff>1790700</xdr:colOff>
      <xdr:row>157</xdr:row>
      <xdr:rowOff>13337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33350" y="29594175"/>
          <a:ext cx="1771650" cy="15944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1638300</xdr:colOff>
      <xdr:row>149</xdr:row>
      <xdr:rowOff>19050</xdr:rowOff>
    </xdr:from>
    <xdr:to>
      <xdr:col>2</xdr:col>
      <xdr:colOff>12326</xdr:colOff>
      <xdr:row>157</xdr:row>
      <xdr:rowOff>1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752600" y="29594175"/>
          <a:ext cx="1860176" cy="158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670560</xdr:colOff>
      <xdr:row>59</xdr:row>
      <xdr:rowOff>15241</xdr:rowOff>
    </xdr:from>
    <xdr:to>
      <xdr:col>1</xdr:col>
      <xdr:colOff>2971074</xdr:colOff>
      <xdr:row>66</xdr:row>
      <xdr:rowOff>11067</xdr:rowOff>
    </xdr:to>
    <xdr:pic>
      <xdr:nvPicPr>
        <xdr:cNvPr id="1028" name="Picture 4" descr="Im Kern des Hauptreihensterns wird Wasserstoff fusioniert.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4860" y="11125201"/>
          <a:ext cx="2300514" cy="13674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990600</xdr:colOff>
      <xdr:row>157</xdr:row>
      <xdr:rowOff>195503</xdr:rowOff>
    </xdr:from>
    <xdr:to>
      <xdr:col>1</xdr:col>
      <xdr:colOff>2509471</xdr:colOff>
      <xdr:row>165</xdr:row>
      <xdr:rowOff>114301</xdr:rowOff>
    </xdr:to>
    <xdr:pic>
      <xdr:nvPicPr>
        <xdr:cNvPr id="5" name="Picture 1" descr="Schalenbrennen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04900" y="23941328"/>
          <a:ext cx="1518871" cy="148089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461776</xdr:colOff>
      <xdr:row>115</xdr:row>
      <xdr:rowOff>31235</xdr:rowOff>
    </xdr:from>
    <xdr:to>
      <xdr:col>8</xdr:col>
      <xdr:colOff>693420</xdr:colOff>
      <xdr:row>139</xdr:row>
      <xdr:rowOff>825</xdr:rowOff>
    </xdr:to>
    <xdr:pic>
      <xdr:nvPicPr>
        <xdr:cNvPr id="7" name="Picture 1" descr="http://www.spaceweather.at/sites/spaceweather/files/field/image/i-6b4a381057d9df65859c3e3c13d4bb11-HRD04_0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033776" y="21923495"/>
          <a:ext cx="4575044" cy="46254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1625</xdr:colOff>
      <xdr:row>167</xdr:row>
      <xdr:rowOff>85723</xdr:rowOff>
    </xdr:from>
    <xdr:to>
      <xdr:col>1</xdr:col>
      <xdr:colOff>3333750</xdr:colOff>
      <xdr:row>180</xdr:row>
      <xdr:rowOff>15314</xdr:rowOff>
    </xdr:to>
    <xdr:pic>
      <xdr:nvPicPr>
        <xdr:cNvPr id="8" name="Picture 1" descr="https://www.dpg-physik.de/dpg/gliederung/fv/p/info/pix/Bindungsenergie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5925" y="25774648"/>
          <a:ext cx="3332125" cy="2396567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304800</xdr:colOff>
      <xdr:row>25</xdr:row>
      <xdr:rowOff>114300</xdr:rowOff>
    </xdr:to>
    <xdr:sp macro="" textlink="">
      <xdr:nvSpPr>
        <xdr:cNvPr id="9" name="2oWy-wloDadtsM:" descr="Bildergebnis für Schalenbrennen Bilder gym-vaterstetten"/>
        <xdr:cNvSpPr>
          <a:spLocks noChangeAspect="1" noChangeArrowheads="1"/>
        </xdr:cNvSpPr>
      </xdr:nvSpPr>
      <xdr:spPr bwMode="auto">
        <a:xfrm>
          <a:off x="11934825" y="4676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32551</xdr:colOff>
      <xdr:row>208</xdr:row>
      <xdr:rowOff>59055</xdr:rowOff>
    </xdr:from>
    <xdr:to>
      <xdr:col>1</xdr:col>
      <xdr:colOff>3461385</xdr:colOff>
      <xdr:row>221</xdr:row>
      <xdr:rowOff>128011</xdr:rowOff>
    </xdr:to>
    <xdr:pic>
      <xdr:nvPicPr>
        <xdr:cNvPr id="10" name="Picture 2" descr="Bildergebnis fÃ¼r Schalenbrennen Bilder gym-vaterstett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6851" y="39591615"/>
          <a:ext cx="3428834" cy="246163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</xdr:colOff>
      <xdr:row>188</xdr:row>
      <xdr:rowOff>66676</xdr:rowOff>
    </xdr:from>
    <xdr:to>
      <xdr:col>1</xdr:col>
      <xdr:colOff>3390900</xdr:colOff>
      <xdr:row>205</xdr:row>
      <xdr:rowOff>161925</xdr:rowOff>
    </xdr:to>
    <xdr:pic>
      <xdr:nvPicPr>
        <xdr:cNvPr id="14" name="Picture 8" descr="Innere Struktur eines Neutronensterns: Schalenaufbau und Konstituenten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4301" y="29784676"/>
          <a:ext cx="3390899" cy="3390899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630555</xdr:colOff>
      <xdr:row>208</xdr:row>
      <xdr:rowOff>83819</xdr:rowOff>
    </xdr:from>
    <xdr:to>
      <xdr:col>8</xdr:col>
      <xdr:colOff>763905</xdr:colOff>
      <xdr:row>215</xdr:row>
      <xdr:rowOff>121920</xdr:rowOff>
    </xdr:to>
    <xdr:pic>
      <xdr:nvPicPr>
        <xdr:cNvPr id="6" name="Picture 1" descr="https://upload.wikimedia.org/wikipedia/commons/thumb/3/3e/Pulsar_schematic.svg/220px-Pulsar_schematic.svg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808595" y="39563039"/>
          <a:ext cx="1870710" cy="1318261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243</xdr:row>
      <xdr:rowOff>0</xdr:rowOff>
    </xdr:from>
    <xdr:to>
      <xdr:col>11</xdr:col>
      <xdr:colOff>1104900</xdr:colOff>
      <xdr:row>248</xdr:row>
      <xdr:rowOff>152400</xdr:rowOff>
    </xdr:to>
    <xdr:sp macro="" textlink="">
      <xdr:nvSpPr>
        <xdr:cNvPr id="16" name="AutoShape 2" descr="https://www.leifiphysik.de/sites/default/files/medien/Absolute_Sternhelligkeit_Bild.svg"/>
        <xdr:cNvSpPr>
          <a:spLocks noChangeAspect="1" noChangeArrowheads="1"/>
        </xdr:cNvSpPr>
      </xdr:nvSpPr>
      <xdr:spPr bwMode="auto">
        <a:xfrm>
          <a:off x="10410825" y="40595550"/>
          <a:ext cx="1104900" cy="11049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0</xdr:colOff>
      <xdr:row>244</xdr:row>
      <xdr:rowOff>0</xdr:rowOff>
    </xdr:from>
    <xdr:to>
      <xdr:col>11</xdr:col>
      <xdr:colOff>304800</xdr:colOff>
      <xdr:row>245</xdr:row>
      <xdr:rowOff>114300</xdr:rowOff>
    </xdr:to>
    <xdr:sp macro="" textlink="">
      <xdr:nvSpPr>
        <xdr:cNvPr id="17" name="iUFIXLD1_VWNvM:" descr="Bildergebnis für Absolute Helligkeit bilder"/>
        <xdr:cNvSpPr>
          <a:spLocks noChangeAspect="1" noChangeArrowheads="1"/>
        </xdr:cNvSpPr>
      </xdr:nvSpPr>
      <xdr:spPr bwMode="auto">
        <a:xfrm>
          <a:off x="10410825" y="4078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647065</xdr:colOff>
      <xdr:row>217</xdr:row>
      <xdr:rowOff>87630</xdr:rowOff>
    </xdr:from>
    <xdr:to>
      <xdr:col>8</xdr:col>
      <xdr:colOff>780415</xdr:colOff>
      <xdr:row>224</xdr:row>
      <xdr:rowOff>80010</xdr:rowOff>
    </xdr:to>
    <xdr:pic>
      <xdr:nvPicPr>
        <xdr:cNvPr id="13" name="Picture 1" descr="Schwarzes Loch vor Milchstraß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825105" y="41212770"/>
          <a:ext cx="1870710" cy="131826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268</xdr:row>
      <xdr:rowOff>0</xdr:rowOff>
    </xdr:from>
    <xdr:to>
      <xdr:col>12</xdr:col>
      <xdr:colOff>304800</xdr:colOff>
      <xdr:row>269</xdr:row>
      <xdr:rowOff>114300</xdr:rowOff>
    </xdr:to>
    <xdr:sp macro="" textlink="">
      <xdr:nvSpPr>
        <xdr:cNvPr id="1029" name="AutoShape 5" descr="https://www.leifiphysik.de/sites/default/files/medien/Solarkonstante_und_Strahlungsleistung_Bild_2.svg"/>
        <xdr:cNvSpPr>
          <a:spLocks noChangeAspect="1" noChangeArrowheads="1"/>
        </xdr:cNvSpPr>
      </xdr:nvSpPr>
      <xdr:spPr bwMode="auto">
        <a:xfrm>
          <a:off x="11591925" y="451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476250</xdr:colOff>
      <xdr:row>272</xdr:row>
      <xdr:rowOff>122464</xdr:rowOff>
    </xdr:from>
    <xdr:to>
      <xdr:col>18</xdr:col>
      <xdr:colOff>95250</xdr:colOff>
      <xdr:row>285</xdr:row>
      <xdr:rowOff>95250</xdr:rowOff>
    </xdr:to>
    <xdr:sp macro="" textlink="">
      <xdr:nvSpPr>
        <xdr:cNvPr id="21" name="AutoShape 6" descr="Bildergebnis für absolute sternhelligkeit bilder"/>
        <xdr:cNvSpPr>
          <a:spLocks noChangeAspect="1" noChangeArrowheads="1"/>
        </xdr:cNvSpPr>
      </xdr:nvSpPr>
      <xdr:spPr bwMode="auto">
        <a:xfrm>
          <a:off x="12830175" y="46052014"/>
          <a:ext cx="3429000" cy="2449286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0</xdr:colOff>
      <xdr:row>268</xdr:row>
      <xdr:rowOff>0</xdr:rowOff>
    </xdr:from>
    <xdr:to>
      <xdr:col>11</xdr:col>
      <xdr:colOff>304800</xdr:colOff>
      <xdr:row>269</xdr:row>
      <xdr:rowOff>114300</xdr:rowOff>
    </xdr:to>
    <xdr:sp macro="" textlink="">
      <xdr:nvSpPr>
        <xdr:cNvPr id="1031" name="AutoShape 7" descr="https://www.leifiphysik.de/sites/default/files/medien/Solarkonstante_und_Strahlungsleistung_Bild_2.svg"/>
        <xdr:cNvSpPr>
          <a:spLocks noChangeAspect="1" noChangeArrowheads="1"/>
        </xdr:cNvSpPr>
      </xdr:nvSpPr>
      <xdr:spPr bwMode="auto">
        <a:xfrm>
          <a:off x="10410825" y="451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495301</xdr:colOff>
      <xdr:row>288</xdr:row>
      <xdr:rowOff>132456</xdr:rowOff>
    </xdr:from>
    <xdr:to>
      <xdr:col>1</xdr:col>
      <xdr:colOff>2990850</xdr:colOff>
      <xdr:row>301</xdr:row>
      <xdr:rowOff>182878</xdr:rowOff>
    </xdr:to>
    <xdr:pic>
      <xdr:nvPicPr>
        <xdr:cNvPr id="18" name="Picture 2" descr="Seeing red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1" y="56463306"/>
          <a:ext cx="2495549" cy="2534542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238125</xdr:colOff>
      <xdr:row>289</xdr:row>
      <xdr:rowOff>29</xdr:rowOff>
    </xdr:from>
    <xdr:to>
      <xdr:col>9</xdr:col>
      <xdr:colOff>19049</xdr:colOff>
      <xdr:row>300</xdr:row>
      <xdr:rowOff>182878</xdr:rowOff>
    </xdr:to>
    <xdr:pic>
      <xdr:nvPicPr>
        <xdr:cNvPr id="23" name="Picture 3" descr="Fathoming Andromed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29475" y="49168079"/>
          <a:ext cx="2324099" cy="228596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243840</xdr:colOff>
      <xdr:row>254</xdr:row>
      <xdr:rowOff>27215</xdr:rowOff>
    </xdr:from>
    <xdr:to>
      <xdr:col>1</xdr:col>
      <xdr:colOff>2322059</xdr:colOff>
      <xdr:row>261</xdr:row>
      <xdr:rowOff>115292</xdr:rowOff>
    </xdr:to>
    <xdr:pic>
      <xdr:nvPicPr>
        <xdr:cNvPr id="4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8140" y="47941775"/>
          <a:ext cx="2078219" cy="14368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94098</xdr:colOff>
      <xdr:row>309</xdr:row>
      <xdr:rowOff>51743</xdr:rowOff>
    </xdr:from>
    <xdr:to>
      <xdr:col>1</xdr:col>
      <xdr:colOff>1695085</xdr:colOff>
      <xdr:row>340</xdr:row>
      <xdr:rowOff>123825</xdr:rowOff>
    </xdr:to>
    <xdr:pic>
      <xdr:nvPicPr>
        <xdr:cNvPr id="30" name="Picture 1" descr="Helligkeitsskala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098" y="52972643"/>
          <a:ext cx="1715287" cy="612045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2080261</xdr:colOff>
      <xdr:row>320</xdr:row>
      <xdr:rowOff>28820</xdr:rowOff>
    </xdr:from>
    <xdr:to>
      <xdr:col>1</xdr:col>
      <xdr:colOff>3200401</xdr:colOff>
      <xdr:row>327</xdr:row>
      <xdr:rowOff>142876</xdr:rowOff>
    </xdr:to>
    <xdr:pic>
      <xdr:nvPicPr>
        <xdr:cNvPr id="34" name="Picture 2" descr="https://upload.wikimedia.org/wikipedia/commons/thumb/3/3b/Leavitt_aavso.jpg/220px-Leavitt_aavso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194561" y="60089660"/>
          <a:ext cx="1120140" cy="1409456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331</xdr:row>
      <xdr:rowOff>0</xdr:rowOff>
    </xdr:from>
    <xdr:to>
      <xdr:col>12</xdr:col>
      <xdr:colOff>304800</xdr:colOff>
      <xdr:row>332</xdr:row>
      <xdr:rowOff>114300</xdr:rowOff>
    </xdr:to>
    <xdr:sp macro="" textlink="">
      <xdr:nvSpPr>
        <xdr:cNvPr id="37" name="AutoShape 5" descr="Bildergebnis fÃ¼r Entfernungen im Weltall Reiner Guse Bilder"/>
        <xdr:cNvSpPr>
          <a:spLocks noChangeAspect="1" noChangeArrowheads="1"/>
        </xdr:cNvSpPr>
      </xdr:nvSpPr>
      <xdr:spPr bwMode="auto">
        <a:xfrm>
          <a:off x="11591925" y="57226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0</xdr:colOff>
      <xdr:row>342</xdr:row>
      <xdr:rowOff>0</xdr:rowOff>
    </xdr:from>
    <xdr:to>
      <xdr:col>12</xdr:col>
      <xdr:colOff>304800</xdr:colOff>
      <xdr:row>343</xdr:row>
      <xdr:rowOff>104775</xdr:rowOff>
    </xdr:to>
    <xdr:sp macro="" textlink="">
      <xdr:nvSpPr>
        <xdr:cNvPr id="41" name="qFotQlSh3_QPTM:" descr="Bildergebnis für Diagramm Helligkeiten von Cepheiden Bilder"/>
        <xdr:cNvSpPr>
          <a:spLocks noChangeAspect="1" noChangeArrowheads="1"/>
        </xdr:cNvSpPr>
      </xdr:nvSpPr>
      <xdr:spPr bwMode="auto">
        <a:xfrm>
          <a:off x="11591925" y="59331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200025</xdr:colOff>
      <xdr:row>324</xdr:row>
      <xdr:rowOff>9525</xdr:rowOff>
    </xdr:from>
    <xdr:to>
      <xdr:col>9</xdr:col>
      <xdr:colOff>57150</xdr:colOff>
      <xdr:row>332</xdr:row>
      <xdr:rowOff>161926</xdr:rowOff>
    </xdr:to>
    <xdr:pic>
      <xdr:nvPicPr>
        <xdr:cNvPr id="43" name="Picture 10" descr="Formelsammlu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191375" y="56121300"/>
          <a:ext cx="2400300" cy="1704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1763825</xdr:colOff>
      <xdr:row>330</xdr:row>
      <xdr:rowOff>190501</xdr:rowOff>
    </xdr:from>
    <xdr:to>
      <xdr:col>1</xdr:col>
      <xdr:colOff>3433058</xdr:colOff>
      <xdr:row>336</xdr:row>
      <xdr:rowOff>152401</xdr:rowOff>
    </xdr:to>
    <xdr:pic>
      <xdr:nvPicPr>
        <xdr:cNvPr id="35" name="Picture 2" descr="Messier 81 HST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78125" y="57264301"/>
          <a:ext cx="1669233" cy="1123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1343025</xdr:colOff>
      <xdr:row>83</xdr:row>
      <xdr:rowOff>194470</xdr:rowOff>
    </xdr:from>
    <xdr:to>
      <xdr:col>1</xdr:col>
      <xdr:colOff>3103133</xdr:colOff>
      <xdr:row>90</xdr:row>
      <xdr:rowOff>195150</xdr:rowOff>
    </xdr:to>
    <xdr:pic>
      <xdr:nvPicPr>
        <xdr:cNvPr id="39" name="Picture 4" descr="Bildergebnis für solarkonstant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457325" y="16539370"/>
          <a:ext cx="1760108" cy="14675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98</xdr:row>
      <xdr:rowOff>133350</xdr:rowOff>
    </xdr:from>
    <xdr:to>
      <xdr:col>11</xdr:col>
      <xdr:colOff>314325</xdr:colOff>
      <xdr:row>100</xdr:row>
      <xdr:rowOff>47625</xdr:rowOff>
    </xdr:to>
    <xdr:sp macro="" textlink="">
      <xdr:nvSpPr>
        <xdr:cNvPr id="40" name="AutoShape 3" descr="Bildergebnis fÃ¼r Aufbau und Funktion der Sonne Bilder"/>
        <xdr:cNvSpPr>
          <a:spLocks noChangeAspect="1" noChangeArrowheads="1"/>
        </xdr:cNvSpPr>
      </xdr:nvSpPr>
      <xdr:spPr bwMode="auto">
        <a:xfrm>
          <a:off x="10420350" y="1962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98234</xdr:colOff>
      <xdr:row>93</xdr:row>
      <xdr:rowOff>26841</xdr:rowOff>
    </xdr:from>
    <xdr:to>
      <xdr:col>1</xdr:col>
      <xdr:colOff>3045381</xdr:colOff>
      <xdr:row>103</xdr:row>
      <xdr:rowOff>152400</xdr:rowOff>
    </xdr:to>
    <xdr:pic>
      <xdr:nvPicPr>
        <xdr:cNvPr id="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12534" y="17705241"/>
          <a:ext cx="2947147" cy="20762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546463</xdr:colOff>
      <xdr:row>61</xdr:row>
      <xdr:rowOff>60960</xdr:rowOff>
    </xdr:from>
    <xdr:to>
      <xdr:col>9</xdr:col>
      <xdr:colOff>28152</xdr:colOff>
      <xdr:row>64</xdr:row>
      <xdr:rowOff>175260</xdr:rowOff>
    </xdr:to>
    <xdr:pic>
      <xdr:nvPicPr>
        <xdr:cNvPr id="46" name="Picture 6" descr="Bildergebnis für Aufbau und Funktion der Sonne Bilder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593183" y="11559540"/>
          <a:ext cx="1219049" cy="701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276</xdr:row>
      <xdr:rowOff>0</xdr:rowOff>
    </xdr:from>
    <xdr:to>
      <xdr:col>15</xdr:col>
      <xdr:colOff>581025</xdr:colOff>
      <xdr:row>284</xdr:row>
      <xdr:rowOff>76200</xdr:rowOff>
    </xdr:to>
    <xdr:sp macro="" textlink="">
      <xdr:nvSpPr>
        <xdr:cNvPr id="28" name="AutoShape 1" descr="Bildergebnis für Entfernungsleiter + Bilder"/>
        <xdr:cNvSpPr>
          <a:spLocks noChangeAspect="1" noChangeArrowheads="1"/>
        </xdr:cNvSpPr>
      </xdr:nvSpPr>
      <xdr:spPr bwMode="auto">
        <a:xfrm>
          <a:off x="11591925" y="54044850"/>
          <a:ext cx="2867025" cy="16002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273</xdr:row>
      <xdr:rowOff>166831</xdr:rowOff>
    </xdr:from>
    <xdr:to>
      <xdr:col>2</xdr:col>
      <xdr:colOff>809625</xdr:colOff>
      <xdr:row>287</xdr:row>
      <xdr:rowOff>13382</xdr:rowOff>
    </xdr:to>
    <xdr:pic>
      <xdr:nvPicPr>
        <xdr:cNvPr id="31" name="Picture 3" descr="Bildergebnis für Entfernungsleiter + Bilder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4300" y="53640181"/>
          <a:ext cx="4295775" cy="25135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421677</xdr:colOff>
      <xdr:row>142</xdr:row>
      <xdr:rowOff>15241</xdr:rowOff>
    </xdr:from>
    <xdr:to>
      <xdr:col>8</xdr:col>
      <xdr:colOff>701040</xdr:colOff>
      <xdr:row>148</xdr:row>
      <xdr:rowOff>2511</xdr:rowOff>
    </xdr:to>
    <xdr:pic>
      <xdr:nvPicPr>
        <xdr:cNvPr id="12" name="Picture 1" descr="Bildergebnis für sonnentemperatur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993677" y="27165301"/>
          <a:ext cx="4622763" cy="10997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37208</xdr:colOff>
      <xdr:row>346</xdr:row>
      <xdr:rowOff>51435</xdr:rowOff>
    </xdr:from>
    <xdr:to>
      <xdr:col>1</xdr:col>
      <xdr:colOff>3491227</xdr:colOff>
      <xdr:row>355</xdr:row>
      <xdr:rowOff>30480</xdr:rowOff>
    </xdr:to>
    <xdr:pic>
      <xdr:nvPicPr>
        <xdr:cNvPr id="29" name="Picture 1" descr="Massetransfer auf einen Weissen Zwer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1508" y="65080515"/>
          <a:ext cx="3454019" cy="1640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89708</xdr:colOff>
      <xdr:row>419</xdr:row>
      <xdr:rowOff>149196</xdr:rowOff>
    </xdr:from>
    <xdr:to>
      <xdr:col>2</xdr:col>
      <xdr:colOff>814647</xdr:colOff>
      <xdr:row>436</xdr:row>
      <xdr:rowOff>139673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9708" y="78673296"/>
          <a:ext cx="4428259" cy="3099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</xdr:colOff>
      <xdr:row>437</xdr:row>
      <xdr:rowOff>179243</xdr:rowOff>
    </xdr:from>
    <xdr:to>
      <xdr:col>3</xdr:col>
      <xdr:colOff>9525</xdr:colOff>
      <xdr:row>455</xdr:row>
      <xdr:rowOff>1125</xdr:rowOff>
    </xdr:to>
    <xdr:pic>
      <xdr:nvPicPr>
        <xdr:cNvPr id="2049" name="Picture 1" descr="http://quasar.square7.ch/cosmos/kosmos_04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31618" y="85315425"/>
          <a:ext cx="4328680" cy="324326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795770</xdr:colOff>
      <xdr:row>419</xdr:row>
      <xdr:rowOff>173398</xdr:rowOff>
    </xdr:from>
    <xdr:to>
      <xdr:col>9</xdr:col>
      <xdr:colOff>29730</xdr:colOff>
      <xdr:row>436</xdr:row>
      <xdr:rowOff>175779</xdr:rowOff>
    </xdr:to>
    <xdr:pic>
      <xdr:nvPicPr>
        <xdr:cNvPr id="2050" name="Picture 2" descr="http://quasar.square7.ch/cosmos/kosmos_02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246543" y="81880580"/>
          <a:ext cx="4325505" cy="324088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798367</xdr:colOff>
      <xdr:row>438</xdr:row>
      <xdr:rowOff>32038</xdr:rowOff>
    </xdr:from>
    <xdr:to>
      <xdr:col>9</xdr:col>
      <xdr:colOff>3752</xdr:colOff>
      <xdr:row>455</xdr:row>
      <xdr:rowOff>12989</xdr:rowOff>
    </xdr:to>
    <xdr:pic>
      <xdr:nvPicPr>
        <xdr:cNvPr id="2051" name="Picture 3" descr="http://quasar.square7.ch/cosmos/kosmos_43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249140" y="85358720"/>
          <a:ext cx="4296930" cy="321945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69274</xdr:colOff>
      <xdr:row>457</xdr:row>
      <xdr:rowOff>123850</xdr:rowOff>
    </xdr:from>
    <xdr:to>
      <xdr:col>8</xdr:col>
      <xdr:colOff>796637</xdr:colOff>
      <xdr:row>485</xdr:row>
      <xdr:rowOff>19362</xdr:rowOff>
    </xdr:to>
    <xdr:pic>
      <xdr:nvPicPr>
        <xdr:cNvPr id="2052" name="Picture 4" descr="http://quasar.square7.ch/galaxies/Gal06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81842" y="88957464"/>
          <a:ext cx="9308522" cy="5229512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383</xdr:row>
      <xdr:rowOff>0</xdr:rowOff>
    </xdr:from>
    <xdr:to>
      <xdr:col>11</xdr:col>
      <xdr:colOff>304800</xdr:colOff>
      <xdr:row>384</xdr:row>
      <xdr:rowOff>83820</xdr:rowOff>
    </xdr:to>
    <xdr:sp macro="" textlink="">
      <xdr:nvSpPr>
        <xdr:cNvPr id="52" name="AutoShape 6" descr="Bildergebnis fÃ¼r crab nebel"/>
        <xdr:cNvSpPr>
          <a:spLocks noChangeAspect="1" noChangeArrowheads="1"/>
        </xdr:cNvSpPr>
      </xdr:nvSpPr>
      <xdr:spPr bwMode="auto">
        <a:xfrm>
          <a:off x="10410825" y="74399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374776</xdr:colOff>
      <xdr:row>371</xdr:row>
      <xdr:rowOff>76200</xdr:rowOff>
    </xdr:from>
    <xdr:to>
      <xdr:col>9</xdr:col>
      <xdr:colOff>54860</xdr:colOff>
      <xdr:row>378</xdr:row>
      <xdr:rowOff>152400</xdr:rowOff>
    </xdr:to>
    <xdr:pic>
      <xdr:nvPicPr>
        <xdr:cNvPr id="53" name="Picture 7" descr="Crab Nebula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421496" y="69570600"/>
          <a:ext cx="1417444" cy="1333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77931</xdr:colOff>
      <xdr:row>103</xdr:row>
      <xdr:rowOff>176581</xdr:rowOff>
    </xdr:from>
    <xdr:to>
      <xdr:col>1</xdr:col>
      <xdr:colOff>3056658</xdr:colOff>
      <xdr:row>108</xdr:row>
      <xdr:rowOff>85375</xdr:rowOff>
    </xdr:to>
    <xdr:pic>
      <xdr:nvPicPr>
        <xdr:cNvPr id="44" name="Picture 1" descr="https://upload.wikimedia.org/wikipedia/commons/thumb/7/7d/Fraunhofer_lines_DE.svg/600px-Fraunhofer_lines_DE.svg.pn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0499" y="20525445"/>
          <a:ext cx="2978727" cy="8720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373380</xdr:colOff>
      <xdr:row>18</xdr:row>
      <xdr:rowOff>111957</xdr:rowOff>
    </xdr:from>
    <xdr:to>
      <xdr:col>8</xdr:col>
      <xdr:colOff>472440</xdr:colOff>
      <xdr:row>36</xdr:row>
      <xdr:rowOff>115288</xdr:rowOff>
    </xdr:to>
    <xdr:pic>
      <xdr:nvPicPr>
        <xdr:cNvPr id="48" name="Picture 1" descr="http://planetfacts.org/wp-content/uploads/2011/04/Proxima-Centauri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076700" y="3495237"/>
          <a:ext cx="5311140" cy="329517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26669</xdr:colOff>
      <xdr:row>380</xdr:row>
      <xdr:rowOff>123825</xdr:rowOff>
    </xdr:from>
    <xdr:to>
      <xdr:col>1</xdr:col>
      <xdr:colOff>2157666</xdr:colOff>
      <xdr:row>388</xdr:row>
      <xdr:rowOff>125795</xdr:rowOff>
    </xdr:to>
    <xdr:pic>
      <xdr:nvPicPr>
        <xdr:cNvPr id="1026" name="Picture 2" descr="Himmlische KÃ¶rper - Stern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40969" y="70932675"/>
          <a:ext cx="2130997" cy="1569785"/>
        </a:xfrm>
        <a:prstGeom prst="rect">
          <a:avLst/>
        </a:prstGeom>
        <a:noFill/>
      </xdr:spPr>
    </xdr:pic>
    <xdr:clientData/>
  </xdr:twoCellAnchor>
  <xdr:twoCellAnchor>
    <xdr:from>
      <xdr:col>7</xdr:col>
      <xdr:colOff>388620</xdr:colOff>
      <xdr:row>87</xdr:row>
      <xdr:rowOff>137160</xdr:rowOff>
    </xdr:from>
    <xdr:to>
      <xdr:col>8</xdr:col>
      <xdr:colOff>441960</xdr:colOff>
      <xdr:row>88</xdr:row>
      <xdr:rowOff>114300</xdr:rowOff>
    </xdr:to>
    <xdr:pic>
      <xdr:nvPicPr>
        <xdr:cNvPr id="80" name="Grafik 7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16588740"/>
          <a:ext cx="922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327660</xdr:colOff>
      <xdr:row>90</xdr:row>
      <xdr:rowOff>76200</xdr:rowOff>
    </xdr:from>
    <xdr:to>
      <xdr:col>8</xdr:col>
      <xdr:colOff>655320</xdr:colOff>
      <xdr:row>91</xdr:row>
      <xdr:rowOff>182880</xdr:rowOff>
    </xdr:to>
    <xdr:pic>
      <xdr:nvPicPr>
        <xdr:cNvPr id="82" name="Grafik 81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17137380"/>
          <a:ext cx="11963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289560</xdr:colOff>
      <xdr:row>242</xdr:row>
      <xdr:rowOff>30480</xdr:rowOff>
    </xdr:from>
    <xdr:to>
      <xdr:col>8</xdr:col>
      <xdr:colOff>434340</xdr:colOff>
      <xdr:row>244</xdr:row>
      <xdr:rowOff>0</xdr:rowOff>
    </xdr:to>
    <xdr:pic>
      <xdr:nvPicPr>
        <xdr:cNvPr id="85" name="Grafik 84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6280" y="45857160"/>
          <a:ext cx="10134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220980</xdr:colOff>
      <xdr:row>257</xdr:row>
      <xdr:rowOff>30480</xdr:rowOff>
    </xdr:from>
    <xdr:to>
      <xdr:col>8</xdr:col>
      <xdr:colOff>708660</xdr:colOff>
      <xdr:row>258</xdr:row>
      <xdr:rowOff>175260</xdr:rowOff>
    </xdr:to>
    <xdr:pic>
      <xdr:nvPicPr>
        <xdr:cNvPr id="86" name="Grafik 85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380" y="48623220"/>
          <a:ext cx="48768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411480</xdr:colOff>
      <xdr:row>257</xdr:row>
      <xdr:rowOff>30480</xdr:rowOff>
    </xdr:from>
    <xdr:to>
      <xdr:col>3</xdr:col>
      <xdr:colOff>411480</xdr:colOff>
      <xdr:row>258</xdr:row>
      <xdr:rowOff>160020</xdr:rowOff>
    </xdr:to>
    <xdr:pic>
      <xdr:nvPicPr>
        <xdr:cNvPr id="89" name="Grafik 88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8623220"/>
          <a:ext cx="8686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257</xdr:row>
      <xdr:rowOff>30480</xdr:rowOff>
    </xdr:from>
    <xdr:to>
      <xdr:col>6</xdr:col>
      <xdr:colOff>381000</xdr:colOff>
      <xdr:row>258</xdr:row>
      <xdr:rowOff>160020</xdr:rowOff>
    </xdr:to>
    <xdr:pic>
      <xdr:nvPicPr>
        <xdr:cNvPr id="91" name="Grafik 90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48623220"/>
          <a:ext cx="8686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358140</xdr:colOff>
      <xdr:row>315</xdr:row>
      <xdr:rowOff>38100</xdr:rowOff>
    </xdr:from>
    <xdr:to>
      <xdr:col>7</xdr:col>
      <xdr:colOff>533400</xdr:colOff>
      <xdr:row>316</xdr:row>
      <xdr:rowOff>160020</xdr:rowOff>
    </xdr:to>
    <xdr:pic>
      <xdr:nvPicPr>
        <xdr:cNvPr id="108" name="Grafik 10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6180" y="59230260"/>
          <a:ext cx="10439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53340</xdr:colOff>
      <xdr:row>405</xdr:row>
      <xdr:rowOff>38100</xdr:rowOff>
    </xdr:from>
    <xdr:to>
      <xdr:col>6</xdr:col>
      <xdr:colOff>853440</xdr:colOff>
      <xdr:row>405</xdr:row>
      <xdr:rowOff>205740</xdr:rowOff>
    </xdr:to>
    <xdr:pic>
      <xdr:nvPicPr>
        <xdr:cNvPr id="121" name="Grafik 120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75758040"/>
          <a:ext cx="80010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</xdr:colOff>
      <xdr:row>405</xdr:row>
      <xdr:rowOff>38100</xdr:rowOff>
    </xdr:from>
    <xdr:to>
      <xdr:col>8</xdr:col>
      <xdr:colOff>830580</xdr:colOff>
      <xdr:row>405</xdr:row>
      <xdr:rowOff>205740</xdr:rowOff>
    </xdr:to>
    <xdr:pic>
      <xdr:nvPicPr>
        <xdr:cNvPr id="122" name="Grafik 121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360" y="75758040"/>
          <a:ext cx="76962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228600</xdr:colOff>
      <xdr:row>412</xdr:row>
      <xdr:rowOff>38100</xdr:rowOff>
    </xdr:from>
    <xdr:to>
      <xdr:col>7</xdr:col>
      <xdr:colOff>708660</xdr:colOff>
      <xdr:row>412</xdr:row>
      <xdr:rowOff>205740</xdr:rowOff>
    </xdr:to>
    <xdr:pic>
      <xdr:nvPicPr>
        <xdr:cNvPr id="123" name="Grafik 122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77327760"/>
          <a:ext cx="4800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213360</xdr:colOff>
      <xdr:row>413</xdr:row>
      <xdr:rowOff>30480</xdr:rowOff>
    </xdr:from>
    <xdr:to>
      <xdr:col>8</xdr:col>
      <xdr:colOff>754380</xdr:colOff>
      <xdr:row>413</xdr:row>
      <xdr:rowOff>205740</xdr:rowOff>
    </xdr:to>
    <xdr:pic>
      <xdr:nvPicPr>
        <xdr:cNvPr id="125" name="Grafik 124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77533500"/>
          <a:ext cx="14097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236220</xdr:colOff>
      <xdr:row>415</xdr:row>
      <xdr:rowOff>7620</xdr:rowOff>
    </xdr:from>
    <xdr:to>
      <xdr:col>8</xdr:col>
      <xdr:colOff>571500</xdr:colOff>
      <xdr:row>416</xdr:row>
      <xdr:rowOff>15240</xdr:rowOff>
    </xdr:to>
    <xdr:pic>
      <xdr:nvPicPr>
        <xdr:cNvPr id="128" name="Grafik 12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77906880"/>
          <a:ext cx="1203960" cy="21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237</xdr:row>
      <xdr:rowOff>0</xdr:rowOff>
    </xdr:from>
    <xdr:to>
      <xdr:col>12</xdr:col>
      <xdr:colOff>304800</xdr:colOff>
      <xdr:row>238</xdr:row>
      <xdr:rowOff>121920</xdr:rowOff>
    </xdr:to>
    <xdr:sp macro="" textlink="">
      <xdr:nvSpPr>
        <xdr:cNvPr id="12289" name="oJuaf_VwOqn0PM:" descr="Bildergebnis für trigonometrische parallaxe + Bilder"/>
        <xdr:cNvSpPr>
          <a:spLocks noChangeAspect="1" noChangeArrowheads="1"/>
        </xdr:cNvSpPr>
      </xdr:nvSpPr>
      <xdr:spPr bwMode="auto">
        <a:xfrm>
          <a:off x="11330940" y="44942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237</xdr:row>
      <xdr:rowOff>0</xdr:rowOff>
    </xdr:from>
    <xdr:to>
      <xdr:col>12</xdr:col>
      <xdr:colOff>304800</xdr:colOff>
      <xdr:row>238</xdr:row>
      <xdr:rowOff>121920</xdr:rowOff>
    </xdr:to>
    <xdr:sp macro="" textlink="">
      <xdr:nvSpPr>
        <xdr:cNvPr id="12291" name="AutoShape 3" descr="Bildergebnis für trigonometrische parallaxe + Bilder"/>
        <xdr:cNvSpPr>
          <a:spLocks noChangeAspect="1" noChangeArrowheads="1"/>
        </xdr:cNvSpPr>
      </xdr:nvSpPr>
      <xdr:spPr bwMode="auto">
        <a:xfrm>
          <a:off x="11330940" y="44942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1023842</xdr:colOff>
      <xdr:row>231</xdr:row>
      <xdr:rowOff>45720</xdr:rowOff>
    </xdr:from>
    <xdr:to>
      <xdr:col>1</xdr:col>
      <xdr:colOff>2606039</xdr:colOff>
      <xdr:row>244</xdr:row>
      <xdr:rowOff>151112</xdr:rowOff>
    </xdr:to>
    <xdr:pic>
      <xdr:nvPicPr>
        <xdr:cNvPr id="84" name="Grafik 83" descr="https://upload.wikimedia.org/wikipedia/commons/thumb/d/d9/Stellarparallax_parsec1_de.png/260px-Stellarparallax_parsec1_de.png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" y="43784520"/>
          <a:ext cx="1582197" cy="2482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101</xdr:row>
      <xdr:rowOff>0</xdr:rowOff>
    </xdr:from>
    <xdr:to>
      <xdr:col>12</xdr:col>
      <xdr:colOff>304800</xdr:colOff>
      <xdr:row>102</xdr:row>
      <xdr:rowOff>106680</xdr:rowOff>
    </xdr:to>
    <xdr:sp macro="" textlink="">
      <xdr:nvSpPr>
        <xdr:cNvPr id="15" name="AutoShape 1"/>
        <xdr:cNvSpPr>
          <a:spLocks noChangeAspect="1" noChangeArrowheads="1"/>
        </xdr:cNvSpPr>
      </xdr:nvSpPr>
      <xdr:spPr bwMode="auto">
        <a:xfrm>
          <a:off x="1133094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205740</xdr:colOff>
      <xdr:row>394</xdr:row>
      <xdr:rowOff>38100</xdr:rowOff>
    </xdr:from>
    <xdr:to>
      <xdr:col>7</xdr:col>
      <xdr:colOff>670560</xdr:colOff>
      <xdr:row>395</xdr:row>
      <xdr:rowOff>167640</xdr:rowOff>
    </xdr:to>
    <xdr:pic>
      <xdr:nvPicPr>
        <xdr:cNvPr id="90" name="Grafik 89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2460" y="73845420"/>
          <a:ext cx="464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167640</xdr:colOff>
      <xdr:row>247</xdr:row>
      <xdr:rowOff>38100</xdr:rowOff>
    </xdr:from>
    <xdr:to>
      <xdr:col>8</xdr:col>
      <xdr:colOff>632460</xdr:colOff>
      <xdr:row>248</xdr:row>
      <xdr:rowOff>167640</xdr:rowOff>
    </xdr:to>
    <xdr:pic>
      <xdr:nvPicPr>
        <xdr:cNvPr id="95" name="Grafik 94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3040" y="46702980"/>
          <a:ext cx="4648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434340</xdr:colOff>
      <xdr:row>319</xdr:row>
      <xdr:rowOff>129540</xdr:rowOff>
    </xdr:from>
    <xdr:to>
      <xdr:col>7</xdr:col>
      <xdr:colOff>495300</xdr:colOff>
      <xdr:row>320</xdr:row>
      <xdr:rowOff>121920</xdr:rowOff>
    </xdr:to>
    <xdr:pic>
      <xdr:nvPicPr>
        <xdr:cNvPr id="98" name="Grafik 97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60007500"/>
          <a:ext cx="9296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60959</xdr:colOff>
      <xdr:row>411</xdr:row>
      <xdr:rowOff>50056</xdr:rowOff>
    </xdr:from>
    <xdr:to>
      <xdr:col>6</xdr:col>
      <xdr:colOff>725407</xdr:colOff>
      <xdr:row>416</xdr:row>
      <xdr:rowOff>76200</xdr:rowOff>
    </xdr:to>
    <xdr:pic>
      <xdr:nvPicPr>
        <xdr:cNvPr id="94" name="Grafik 93" descr="https://upload.wikimedia.org/wikipedia/commons/thumb/4/4f/Proper_motion_de.svg/330px-Proper_motion_de.svg.png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19" y="77141596"/>
          <a:ext cx="1533128" cy="103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213360</xdr:colOff>
      <xdr:row>408</xdr:row>
      <xdr:rowOff>91440</xdr:rowOff>
    </xdr:from>
    <xdr:to>
      <xdr:col>8</xdr:col>
      <xdr:colOff>426720</xdr:colOff>
      <xdr:row>410</xdr:row>
      <xdr:rowOff>144780</xdr:rowOff>
    </xdr:to>
    <xdr:pic>
      <xdr:nvPicPr>
        <xdr:cNvPr id="99" name="Grafik 98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0080" y="76558140"/>
          <a:ext cx="108204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213360</xdr:colOff>
      <xdr:row>315</xdr:row>
      <xdr:rowOff>53340</xdr:rowOff>
    </xdr:from>
    <xdr:to>
      <xdr:col>4</xdr:col>
      <xdr:colOff>647700</xdr:colOff>
      <xdr:row>316</xdr:row>
      <xdr:rowOff>175260</xdr:rowOff>
    </xdr:to>
    <xdr:pic>
      <xdr:nvPicPr>
        <xdr:cNvPr id="96" name="Grafik 95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59199780"/>
          <a:ext cx="13030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198120</xdr:colOff>
      <xdr:row>397</xdr:row>
      <xdr:rowOff>38100</xdr:rowOff>
    </xdr:from>
    <xdr:to>
      <xdr:col>8</xdr:col>
      <xdr:colOff>457200</xdr:colOff>
      <xdr:row>399</xdr:row>
      <xdr:rowOff>7620</xdr:rowOff>
    </xdr:to>
    <xdr:pic>
      <xdr:nvPicPr>
        <xdr:cNvPr id="97" name="Grafik 96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840" y="74432160"/>
          <a:ext cx="112776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400</xdr:row>
      <xdr:rowOff>60960</xdr:rowOff>
    </xdr:from>
    <xdr:to>
      <xdr:col>8</xdr:col>
      <xdr:colOff>624840</xdr:colOff>
      <xdr:row>401</xdr:row>
      <xdr:rowOff>144780</xdr:rowOff>
    </xdr:to>
    <xdr:pic>
      <xdr:nvPicPr>
        <xdr:cNvPr id="100" name="Grafik 99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74988420"/>
          <a:ext cx="21336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441960</xdr:colOff>
      <xdr:row>283</xdr:row>
      <xdr:rowOff>30480</xdr:rowOff>
    </xdr:from>
    <xdr:to>
      <xdr:col>8</xdr:col>
      <xdr:colOff>502920</xdr:colOff>
      <xdr:row>284</xdr:row>
      <xdr:rowOff>160020</xdr:rowOff>
    </xdr:to>
    <xdr:pic>
      <xdr:nvPicPr>
        <xdr:cNvPr id="102" name="Grafik 10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8680" y="53248560"/>
          <a:ext cx="9296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236220</xdr:colOff>
      <xdr:row>273</xdr:row>
      <xdr:rowOff>121920</xdr:rowOff>
    </xdr:from>
    <xdr:to>
      <xdr:col>6</xdr:col>
      <xdr:colOff>571500</xdr:colOff>
      <xdr:row>274</xdr:row>
      <xdr:rowOff>106680</xdr:rowOff>
    </xdr:to>
    <xdr:pic>
      <xdr:nvPicPr>
        <xdr:cNvPr id="103" name="Grafik 10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580" y="51511200"/>
          <a:ext cx="1203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556260</xdr:colOff>
      <xdr:row>286</xdr:row>
      <xdr:rowOff>91440</xdr:rowOff>
    </xdr:from>
    <xdr:to>
      <xdr:col>8</xdr:col>
      <xdr:colOff>213360</xdr:colOff>
      <xdr:row>287</xdr:row>
      <xdr:rowOff>83820</xdr:rowOff>
    </xdr:to>
    <xdr:pic>
      <xdr:nvPicPr>
        <xdr:cNvPr id="109" name="Grafik 108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80" y="53858160"/>
          <a:ext cx="52578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3ohjOltaO6Y" TargetMode="External"/><Relationship Id="rId13" Type="http://schemas.openxmlformats.org/officeDocument/2006/relationships/hyperlink" Target="https://www.youtube.com/watch?v=YoXWIKD1FjU" TargetMode="External"/><Relationship Id="rId18" Type="http://schemas.openxmlformats.org/officeDocument/2006/relationships/hyperlink" Target="https://www.youtube.com/watch?v=fkCtO1aakhY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youtube.com/watch?v=OgvMCBLIz74" TargetMode="External"/><Relationship Id="rId21" Type="http://schemas.openxmlformats.org/officeDocument/2006/relationships/hyperlink" Target="https://www.youtube.com/watch?v=n_Et5oV7SXk" TargetMode="External"/><Relationship Id="rId7" Type="http://schemas.openxmlformats.org/officeDocument/2006/relationships/hyperlink" Target="https://www.youtube.com/watch?v=pBekV7dXdfY" TargetMode="External"/><Relationship Id="rId12" Type="http://schemas.openxmlformats.org/officeDocument/2006/relationships/hyperlink" Target="https://www.youtube.com/watch?v=KrgD7FmFUnE" TargetMode="External"/><Relationship Id="rId17" Type="http://schemas.openxmlformats.org/officeDocument/2006/relationships/hyperlink" Target="https://www.youtube.com/watch?v=_oN3HJCY6RA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JNYzSY-fjCE" TargetMode="External"/><Relationship Id="rId16" Type="http://schemas.openxmlformats.org/officeDocument/2006/relationships/hyperlink" Target="https://www.youtube.com/watch?v=2DOqF4Mt35Y" TargetMode="External"/><Relationship Id="rId20" Type="http://schemas.openxmlformats.org/officeDocument/2006/relationships/hyperlink" Target="https://www.youtube.com/watch?v=Ue3EfnzfMa8" TargetMode="External"/><Relationship Id="rId1" Type="http://schemas.openxmlformats.org/officeDocument/2006/relationships/hyperlink" Target="https://www.youtube.com/watch?v=bHM-PSA8SMc" TargetMode="External"/><Relationship Id="rId6" Type="http://schemas.openxmlformats.org/officeDocument/2006/relationships/hyperlink" Target="https://www.youtube.com/watch?v=F2Ebe8gunQA" TargetMode="External"/><Relationship Id="rId11" Type="http://schemas.openxmlformats.org/officeDocument/2006/relationships/hyperlink" Target="https://www.youtube.com/watch?v=ffLW-FS8rxk" TargetMode="External"/><Relationship Id="rId24" Type="http://schemas.openxmlformats.org/officeDocument/2006/relationships/hyperlink" Target="https://www.youtube.com/watch?v=6VhtPuQbE4I" TargetMode="External"/><Relationship Id="rId5" Type="http://schemas.openxmlformats.org/officeDocument/2006/relationships/hyperlink" Target="https://www.youtube.com/watch?v=-2o8_JvniDM" TargetMode="External"/><Relationship Id="rId15" Type="http://schemas.openxmlformats.org/officeDocument/2006/relationships/hyperlink" Target="https://www.youtube.com/watch?v=GeKiAZ4JQ8k" TargetMode="External"/><Relationship Id="rId23" Type="http://schemas.openxmlformats.org/officeDocument/2006/relationships/hyperlink" Target="https://www.youtube.com/watch?v=L4pS2tBa7xU" TargetMode="External"/><Relationship Id="rId10" Type="http://schemas.openxmlformats.org/officeDocument/2006/relationships/hyperlink" Target="https://www.youtube.com/watch?v=FwNV_e-Xz68" TargetMode="External"/><Relationship Id="rId19" Type="http://schemas.openxmlformats.org/officeDocument/2006/relationships/hyperlink" Target="https://www.youtube.com/watch?v=TvUD3SIywRM" TargetMode="External"/><Relationship Id="rId4" Type="http://schemas.openxmlformats.org/officeDocument/2006/relationships/hyperlink" Target="https://www.youtube.com/watch?v=IlmcuNDOpR4" TargetMode="External"/><Relationship Id="rId9" Type="http://schemas.openxmlformats.org/officeDocument/2006/relationships/hyperlink" Target="https://www.youtube.com/watch?v=7BV0Fs4eM0I" TargetMode="External"/><Relationship Id="rId14" Type="http://schemas.openxmlformats.org/officeDocument/2006/relationships/hyperlink" Target="https://www.youtube.com/watch?v=svn3fg5zbxA" TargetMode="External"/><Relationship Id="rId22" Type="http://schemas.openxmlformats.org/officeDocument/2006/relationships/hyperlink" Target="https://www.youtube.com/watch?v=dN_XDU7q0k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matheundphysik.de/Allgemeines/Dateien/Heft%20-%20Schwarze%20Loecher.pdf%20%20%20Text,%2029%20Seiten" TargetMode="External"/><Relationship Id="rId1" Type="http://schemas.openxmlformats.org/officeDocument/2006/relationships/hyperlink" Target="https://www.youtube.com/watch?v=e4VoZBAagYo" TargetMode="External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youtube.com/watch?v=HLFO6PEm5gQ" TargetMode="External"/><Relationship Id="rId7" Type="http://schemas.openxmlformats.org/officeDocument/2006/relationships/hyperlink" Target="https://www.youtube.com/watch?v=zzyp1IHFSQ8" TargetMode="External"/><Relationship Id="rId2" Type="http://schemas.openxmlformats.org/officeDocument/2006/relationships/hyperlink" Target="https://www.youtube.com/watch?v=dF-Gzr4ioCY" TargetMode="External"/><Relationship Id="rId1" Type="http://schemas.openxmlformats.org/officeDocument/2006/relationships/hyperlink" Target="https://www.youtube.com/watch?v=F8WBMhnJogk%20%20%20%20%20%20%20%203,5%20min" TargetMode="External"/><Relationship Id="rId6" Type="http://schemas.openxmlformats.org/officeDocument/2006/relationships/hyperlink" Target="https://www.youtube.com/watch?v=rstzFgmMSgs" TargetMode="External"/><Relationship Id="rId5" Type="http://schemas.openxmlformats.org/officeDocument/2006/relationships/hyperlink" Target="https://www.youtube.com/watch?v=-IRGN7Q62rs" TargetMode="External"/><Relationship Id="rId4" Type="http://schemas.openxmlformats.org/officeDocument/2006/relationships/hyperlink" Target="https://www.youtube.com/watch?v=BzlHLd1-7qk" TargetMode="External"/><Relationship Id="rId9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9sC0oX3n_WY" TargetMode="External"/><Relationship Id="rId3" Type="http://schemas.openxmlformats.org/officeDocument/2006/relationships/hyperlink" Target="https://www.youtube.com/watch?v=7fLFOgSVFJM" TargetMode="External"/><Relationship Id="rId7" Type="http://schemas.openxmlformats.org/officeDocument/2006/relationships/hyperlink" Target="https://www.youtube.com/watch?v=BqeSHBgIRWI" TargetMode="External"/><Relationship Id="rId2" Type="http://schemas.openxmlformats.org/officeDocument/2006/relationships/hyperlink" Target="https://www.youtube.com/watch?v=-XJxwcOOU6o" TargetMode="External"/><Relationship Id="rId1" Type="http://schemas.openxmlformats.org/officeDocument/2006/relationships/hyperlink" Target="https://www.youtube.com/watch?v=bbjGzpHTKXs" TargetMode="External"/><Relationship Id="rId6" Type="http://schemas.openxmlformats.org/officeDocument/2006/relationships/hyperlink" Target="https://www.youtube.com/watch?v=f10DjdezijE" TargetMode="External"/><Relationship Id="rId5" Type="http://schemas.openxmlformats.org/officeDocument/2006/relationships/hyperlink" Target="https://www.google.com/search?client=firefox-b-d&amp;q=Die+entstehung+der+Kr%C3%A4fte+und+der+Teilchenzoo" TargetMode="External"/><Relationship Id="rId10" Type="http://schemas.openxmlformats.org/officeDocument/2006/relationships/drawing" Target="../drawings/drawing10.xml"/><Relationship Id="rId4" Type="http://schemas.openxmlformats.org/officeDocument/2006/relationships/hyperlink" Target="https://www.youtube.com/watch?v=ACD_qndPwws" TargetMode="External"/><Relationship Id="rId9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youtube.com/watch?v=oUCqT7aM7h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youtube.com/watch?v=UdxJl8G-ExQ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youtube.com/watch?v=dCVkDkE8X3g%20%20%20%20%205%20min" TargetMode="External"/><Relationship Id="rId7" Type="http://schemas.openxmlformats.org/officeDocument/2006/relationships/hyperlink" Target="https://stellarium-web.org/" TargetMode="External"/><Relationship Id="rId2" Type="http://schemas.openxmlformats.org/officeDocument/2006/relationships/hyperlink" Target="https://www.youtube.com/watch?v=4zKwqdfuRz4%20%20%20%208%20min" TargetMode="External"/><Relationship Id="rId1" Type="http://schemas.openxmlformats.org/officeDocument/2006/relationships/hyperlink" Target="https://www.youtube.com/watch?v=2PeIxDH3NCU%20%20%20%204%20min" TargetMode="External"/><Relationship Id="rId6" Type="http://schemas.openxmlformats.org/officeDocument/2006/relationships/hyperlink" Target="../../../Program%20Files/Stellarium/stellarium.exe" TargetMode="External"/><Relationship Id="rId5" Type="http://schemas.openxmlformats.org/officeDocument/2006/relationships/hyperlink" Target="https://www.youtube.com/watch?v=P1jMNiiOUW8%20%20%20%20%205%20min" TargetMode="External"/><Relationship Id="rId4" Type="http://schemas.openxmlformats.org/officeDocument/2006/relationships/hyperlink" Target="https://www.youtube.com/watch?v=6kF9mwlIv78%20%20%20%20%204min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6"/>
  <sheetViews>
    <sheetView tabSelected="1" zoomScaleNormal="100" workbookViewId="0">
      <selection activeCell="L9" sqref="L9"/>
    </sheetView>
  </sheetViews>
  <sheetFormatPr baseColWidth="10" defaultRowHeight="14.4"/>
  <cols>
    <col min="1" max="1" width="0.77734375" customWidth="1"/>
    <col min="2" max="2" width="66.44140625" customWidth="1"/>
    <col min="3" max="3" width="8" style="41" customWidth="1"/>
    <col min="4" max="4" width="12.44140625" style="2" customWidth="1"/>
    <col min="5" max="5" width="7.44140625" style="7" customWidth="1"/>
    <col min="6" max="6" width="6.88671875" style="6" customWidth="1"/>
    <col min="7" max="7" width="40.88671875" customWidth="1"/>
    <col min="8" max="8" width="0.77734375" customWidth="1"/>
    <col min="9" max="9" width="2.6640625" style="4" customWidth="1"/>
    <col min="10" max="10" width="14" style="1147" bestFit="1" customWidth="1"/>
    <col min="11" max="11" width="24.88671875" style="19" customWidth="1"/>
    <col min="12" max="12" width="11.44140625" style="3"/>
  </cols>
  <sheetData>
    <row r="1" spans="1:12" s="3" customFormat="1" ht="15.6" customHeight="1">
      <c r="A1" s="500"/>
      <c r="B1" s="1210" t="s">
        <v>2962</v>
      </c>
      <c r="C1" s="991"/>
      <c r="D1" s="2216"/>
      <c r="E1" s="421"/>
      <c r="F1" s="736"/>
      <c r="G1" s="2271">
        <v>46138</v>
      </c>
      <c r="H1" s="2217"/>
      <c r="I1" s="626"/>
      <c r="J1" s="1147"/>
      <c r="K1" s="19"/>
    </row>
    <row r="2" spans="1:12" s="941" customFormat="1" ht="14.4" customHeight="1">
      <c r="A2" s="943"/>
      <c r="B2" s="2214"/>
      <c r="C2" s="2218"/>
      <c r="D2" s="234"/>
      <c r="E2" s="173"/>
      <c r="F2" s="167"/>
      <c r="G2" s="2215"/>
      <c r="H2" s="944"/>
      <c r="I2" s="945"/>
      <c r="J2" s="1287"/>
      <c r="K2" s="19"/>
      <c r="L2" s="22"/>
    </row>
    <row r="3" spans="1:12" s="592" customFormat="1" ht="14.4" customHeight="1">
      <c r="A3" s="905"/>
      <c r="B3" s="2268" t="s">
        <v>2905</v>
      </c>
      <c r="C3" s="2267"/>
      <c r="D3" s="2213"/>
      <c r="E3" s="1554"/>
      <c r="F3" s="1551"/>
      <c r="G3" s="1168"/>
      <c r="H3" s="1171"/>
      <c r="I3" s="591"/>
      <c r="J3" s="1285"/>
      <c r="K3" s="703"/>
      <c r="L3" s="78"/>
    </row>
    <row r="4" spans="1:12" s="592" customFormat="1" ht="13.8" customHeight="1">
      <c r="A4" s="905"/>
      <c r="B4" s="2411" t="s">
        <v>2987</v>
      </c>
      <c r="C4" s="2211"/>
      <c r="D4" s="2213"/>
      <c r="E4" s="1554"/>
      <c r="F4" s="1551"/>
      <c r="G4" s="1168"/>
      <c r="H4" s="1171"/>
      <c r="I4" s="591"/>
      <c r="J4" s="1285"/>
      <c r="K4" s="703"/>
      <c r="L4" s="78"/>
    </row>
    <row r="5" spans="1:12" ht="14.4" customHeight="1" thickBot="1">
      <c r="A5" s="414"/>
      <c r="B5" s="1775" t="s">
        <v>2986</v>
      </c>
      <c r="C5" s="176"/>
      <c r="D5" s="1531"/>
      <c r="E5" s="1270"/>
      <c r="F5" s="1299"/>
      <c r="G5" s="2218"/>
      <c r="H5" s="412"/>
    </row>
    <row r="6" spans="1:12" s="941" customFormat="1" ht="13.8" customHeight="1" thickBot="1">
      <c r="A6" s="943"/>
      <c r="B6" s="2218"/>
      <c r="C6" s="2225" t="s">
        <v>2556</v>
      </c>
      <c r="D6" s="2307" t="s">
        <v>2915</v>
      </c>
      <c r="E6" s="1347"/>
      <c r="F6" s="1914"/>
      <c r="G6" s="2043"/>
      <c r="H6" s="944"/>
      <c r="I6" s="945"/>
      <c r="J6" s="9"/>
      <c r="K6"/>
      <c r="L6" s="22"/>
    </row>
    <row r="7" spans="1:12" s="592" customFormat="1" ht="15" customHeight="1">
      <c r="A7" s="905"/>
      <c r="B7" s="2235" t="s">
        <v>123</v>
      </c>
      <c r="C7" s="2267"/>
      <c r="D7" s="2267"/>
      <c r="E7" s="2267"/>
      <c r="F7" s="1426"/>
      <c r="G7" s="1170"/>
      <c r="H7" s="1171"/>
      <c r="I7" s="591"/>
      <c r="J7" s="1285"/>
      <c r="K7" s="2042"/>
      <c r="L7" s="78"/>
    </row>
    <row r="8" spans="1:12" ht="15.6" customHeight="1">
      <c r="A8" s="414"/>
      <c r="B8" s="2246" t="s">
        <v>2169</v>
      </c>
      <c r="C8" s="2258"/>
      <c r="D8" s="2269" t="s">
        <v>2588</v>
      </c>
      <c r="E8" s="2259"/>
      <c r="F8" s="41"/>
      <c r="G8" s="1848" t="s">
        <v>2581</v>
      </c>
      <c r="H8" s="412"/>
      <c r="K8"/>
    </row>
    <row r="9" spans="1:12" ht="14.4" customHeight="1">
      <c r="A9" s="414"/>
      <c r="B9" s="1425" t="s">
        <v>2874</v>
      </c>
      <c r="C9" s="2260" t="s">
        <v>51</v>
      </c>
      <c r="D9" s="2409">
        <f>1/(SQRT(8.85418781E-12*0.00000125663706))</f>
        <v>299792458.30029017</v>
      </c>
      <c r="E9" s="2261" t="s">
        <v>2268</v>
      </c>
      <c r="F9" s="167"/>
      <c r="G9" s="2045" t="s">
        <v>2582</v>
      </c>
      <c r="H9" s="412"/>
      <c r="K9" s="2057"/>
    </row>
    <row r="10" spans="1:12" ht="15" customHeight="1">
      <c r="A10" s="414"/>
      <c r="B10" s="2067" t="s">
        <v>2112</v>
      </c>
      <c r="C10" s="2262"/>
      <c r="D10" s="2270" t="s">
        <v>2590</v>
      </c>
      <c r="E10" s="2263"/>
      <c r="F10" s="413"/>
      <c r="H10" s="412"/>
      <c r="K10" s="2057"/>
    </row>
    <row r="11" spans="1:12" ht="15" customHeight="1">
      <c r="A11" s="414"/>
      <c r="B11" s="1775" t="s">
        <v>2875</v>
      </c>
      <c r="C11" s="2260" t="s">
        <v>2288</v>
      </c>
      <c r="D11" s="2410">
        <f>1/D9</f>
        <v>3.3356409486403419E-9</v>
      </c>
      <c r="E11" s="2261" t="s">
        <v>2583</v>
      </c>
      <c r="F11" s="2272" t="s">
        <v>2591</v>
      </c>
      <c r="G11" s="2226" t="s">
        <v>2898</v>
      </c>
      <c r="H11" s="412"/>
      <c r="J11" s="2343"/>
      <c r="K11" s="2344"/>
      <c r="L11" s="2"/>
    </row>
    <row r="12" spans="1:12">
      <c r="A12" s="414"/>
      <c r="B12" s="226" t="s">
        <v>2287</v>
      </c>
      <c r="C12" s="2264"/>
      <c r="D12" s="2265" t="s">
        <v>2589</v>
      </c>
      <c r="E12" s="2266"/>
      <c r="F12" s="2224"/>
      <c r="G12" s="2394" t="s">
        <v>658</v>
      </c>
      <c r="H12" s="412"/>
      <c r="K12" s="16"/>
    </row>
    <row r="13" spans="1:12">
      <c r="A13" s="414"/>
      <c r="B13" s="2067" t="s">
        <v>2557</v>
      </c>
      <c r="C13" s="176"/>
      <c r="D13" s="1531"/>
      <c r="E13" s="1270"/>
      <c r="F13" s="989"/>
      <c r="G13" s="199" t="s">
        <v>2897</v>
      </c>
      <c r="H13" s="412"/>
      <c r="K13" s="2044"/>
    </row>
    <row r="14" spans="1:12" ht="14.4" customHeight="1">
      <c r="A14" s="414"/>
      <c r="B14" s="2243" t="s">
        <v>2266</v>
      </c>
      <c r="C14" s="176"/>
      <c r="D14" s="347"/>
      <c r="E14" s="416"/>
      <c r="F14" s="1299"/>
      <c r="G14" s="2274" t="s">
        <v>2599</v>
      </c>
      <c r="H14" s="412"/>
      <c r="J14" s="1283"/>
      <c r="K14" s="11"/>
      <c r="L14" s="5"/>
    </row>
    <row r="15" spans="1:12" ht="14.4" customHeight="1">
      <c r="A15" s="414"/>
      <c r="B15" s="2345" t="s">
        <v>2722</v>
      </c>
      <c r="C15" s="176"/>
      <c r="D15" s="347"/>
      <c r="E15" s="416"/>
      <c r="F15" s="176"/>
      <c r="G15" s="2275" t="s">
        <v>2497</v>
      </c>
      <c r="H15" s="412"/>
      <c r="J15" s="1149"/>
      <c r="K15" s="990"/>
    </row>
    <row r="16" spans="1:12">
      <c r="A16" s="414"/>
      <c r="B16" s="691"/>
      <c r="C16" s="176"/>
      <c r="D16" s="347"/>
      <c r="E16" s="416"/>
      <c r="F16" s="176"/>
      <c r="G16" s="1924" t="s">
        <v>2600</v>
      </c>
      <c r="H16" s="412"/>
      <c r="J16" s="1149"/>
      <c r="K16" s="592"/>
    </row>
    <row r="17" spans="1:12">
      <c r="A17" s="414"/>
      <c r="B17" s="659"/>
      <c r="C17" s="176"/>
      <c r="D17" s="411"/>
      <c r="E17" s="415"/>
      <c r="F17" s="2276" t="s">
        <v>1642</v>
      </c>
      <c r="G17" s="1343" t="s">
        <v>2601</v>
      </c>
      <c r="H17" s="412"/>
      <c r="I17" s="853"/>
      <c r="K17"/>
    </row>
    <row r="18" spans="1:12">
      <c r="A18" s="414"/>
      <c r="B18" s="691"/>
      <c r="C18" s="176"/>
      <c r="D18" s="347"/>
      <c r="E18" s="416"/>
      <c r="F18" s="176"/>
      <c r="H18" s="412"/>
    </row>
    <row r="19" spans="1:12">
      <c r="A19" s="414"/>
      <c r="B19" s="691"/>
      <c r="C19" s="176"/>
      <c r="D19" s="347"/>
      <c r="E19" s="237"/>
      <c r="F19" s="2273"/>
      <c r="G19" s="1911" t="s">
        <v>2364</v>
      </c>
      <c r="H19" s="412"/>
      <c r="K19"/>
    </row>
    <row r="20" spans="1:12" ht="14.4" customHeight="1">
      <c r="A20" s="414"/>
      <c r="B20" s="691"/>
      <c r="C20" s="2039" t="s">
        <v>1916</v>
      </c>
      <c r="D20" s="406"/>
      <c r="E20" s="237"/>
      <c r="F20" s="407"/>
      <c r="G20" s="169"/>
      <c r="H20" s="412"/>
      <c r="K20"/>
    </row>
    <row r="21" spans="1:12" ht="14.4" customHeight="1">
      <c r="A21" s="414"/>
      <c r="B21" s="691"/>
      <c r="C21" s="2039" t="s">
        <v>1854</v>
      </c>
      <c r="D21" s="170"/>
      <c r="E21" s="237"/>
      <c r="F21" s="237"/>
      <c r="G21" s="169"/>
      <c r="H21" s="412"/>
      <c r="J21" s="1194"/>
      <c r="K21"/>
    </row>
    <row r="22" spans="1:12" ht="15.6">
      <c r="A22" s="414"/>
      <c r="C22" s="2039" t="s">
        <v>2579</v>
      </c>
      <c r="D22" s="170"/>
      <c r="E22" s="237"/>
      <c r="F22" s="237"/>
      <c r="G22" s="406"/>
      <c r="H22" s="412"/>
      <c r="J22" s="1183"/>
      <c r="K22"/>
    </row>
    <row r="23" spans="1:12" ht="14.4" customHeight="1">
      <c r="A23" s="414"/>
      <c r="B23" s="2060" t="s">
        <v>2594</v>
      </c>
      <c r="C23" s="2039" t="s">
        <v>2686</v>
      </c>
      <c r="D23" s="172"/>
      <c r="E23" s="173"/>
      <c r="F23" s="173"/>
      <c r="G23" s="174"/>
      <c r="H23" s="412"/>
      <c r="K23"/>
    </row>
    <row r="24" spans="1:12" s="941" customFormat="1" ht="15" customHeight="1">
      <c r="A24" s="943"/>
      <c r="B24" s="2247" t="s">
        <v>2595</v>
      </c>
      <c r="C24" s="618"/>
      <c r="D24" s="2244"/>
      <c r="E24" s="173"/>
      <c r="F24" s="556"/>
      <c r="G24" s="2245"/>
      <c r="H24" s="944"/>
      <c r="I24" s="945"/>
      <c r="J24" s="1287"/>
      <c r="K24" s="19"/>
      <c r="L24" s="22"/>
    </row>
    <row r="25" spans="1:12" ht="15" customHeight="1">
      <c r="A25" s="414"/>
      <c r="B25" s="245"/>
      <c r="C25" s="246"/>
      <c r="D25" s="247"/>
      <c r="E25" s="248"/>
      <c r="F25" s="248"/>
      <c r="G25" s="683"/>
      <c r="H25" s="412"/>
      <c r="I25" s="43"/>
      <c r="K25"/>
    </row>
    <row r="26" spans="1:12" ht="15" customHeight="1">
      <c r="A26" s="414"/>
      <c r="B26" s="2054" t="s">
        <v>2384</v>
      </c>
      <c r="C26" s="243"/>
      <c r="D26" s="2053"/>
      <c r="E26" s="249"/>
      <c r="F26" s="244"/>
      <c r="G26" s="684"/>
      <c r="H26" s="412"/>
      <c r="I26" s="686"/>
    </row>
    <row r="27" spans="1:12" ht="15" customHeight="1">
      <c r="A27" s="414"/>
      <c r="B27" s="250"/>
      <c r="C27" s="251"/>
      <c r="D27" s="252"/>
      <c r="E27" s="253"/>
      <c r="F27" s="254"/>
      <c r="G27" s="685"/>
      <c r="H27" s="412"/>
    </row>
    <row r="28" spans="1:12" ht="6.6" customHeight="1">
      <c r="A28" s="414"/>
      <c r="B28" s="2240"/>
      <c r="D28" s="2240"/>
      <c r="E28" s="2241"/>
      <c r="F28" s="2242"/>
      <c r="G28" s="2240"/>
      <c r="H28" s="412"/>
      <c r="K28"/>
    </row>
    <row r="29" spans="1:12" ht="15" customHeight="1">
      <c r="A29" s="414"/>
      <c r="B29" s="2396" t="s">
        <v>2957</v>
      </c>
      <c r="C29" s="157"/>
      <c r="D29" s="2092" t="s">
        <v>329</v>
      </c>
      <c r="E29" s="1214"/>
      <c r="F29" s="1213"/>
      <c r="G29" s="622"/>
      <c r="H29" s="412"/>
    </row>
    <row r="30" spans="1:12" ht="15" customHeight="1">
      <c r="A30" s="414"/>
      <c r="B30" s="674" t="s">
        <v>181</v>
      </c>
      <c r="C30" s="224" t="s">
        <v>673</v>
      </c>
      <c r="D30" s="95">
        <v>6.6742799999999995E-11</v>
      </c>
      <c r="E30" s="468" t="s">
        <v>2239</v>
      </c>
      <c r="F30" s="166"/>
      <c r="G30" s="2058"/>
      <c r="H30" s="412"/>
      <c r="J30" s="1284"/>
      <c r="K30"/>
    </row>
    <row r="31" spans="1:12" ht="15" customHeight="1">
      <c r="A31" s="414"/>
      <c r="B31" s="674" t="s">
        <v>182</v>
      </c>
      <c r="C31" s="224" t="s">
        <v>47</v>
      </c>
      <c r="D31" s="2059">
        <v>6.6260693000000002E-34</v>
      </c>
      <c r="E31" s="468" t="s">
        <v>2580</v>
      </c>
      <c r="F31" s="232"/>
      <c r="G31" s="1022"/>
      <c r="H31" s="412"/>
      <c r="K31"/>
    </row>
    <row r="32" spans="1:12" ht="15" customHeight="1">
      <c r="A32" s="414"/>
      <c r="B32" s="674" t="s">
        <v>183</v>
      </c>
      <c r="C32" s="224" t="s">
        <v>2356</v>
      </c>
      <c r="D32" s="95">
        <v>1.3809999999999999E-23</v>
      </c>
      <c r="E32" s="468" t="s">
        <v>2240</v>
      </c>
      <c r="F32" s="220"/>
      <c r="G32" s="2405" t="s">
        <v>2958</v>
      </c>
      <c r="H32" s="412"/>
    </row>
    <row r="33" spans="1:15" ht="13.2" customHeight="1">
      <c r="A33" s="414"/>
      <c r="B33" s="674" t="s">
        <v>184</v>
      </c>
      <c r="C33" s="224" t="s">
        <v>2242</v>
      </c>
      <c r="D33" s="95">
        <v>5.6704000000000003E-8</v>
      </c>
      <c r="E33" s="468" t="s">
        <v>1040</v>
      </c>
      <c r="F33" s="206"/>
      <c r="G33" s="226" t="s">
        <v>2418</v>
      </c>
      <c r="H33" s="412"/>
    </row>
    <row r="34" spans="1:15" ht="13.2" customHeight="1">
      <c r="A34" s="414"/>
      <c r="B34" s="674" t="s">
        <v>612</v>
      </c>
      <c r="C34" s="224" t="s">
        <v>2243</v>
      </c>
      <c r="D34" s="95">
        <v>2.898E-3</v>
      </c>
      <c r="E34" s="468" t="s">
        <v>2241</v>
      </c>
      <c r="F34" s="206"/>
      <c r="G34" s="890" t="s">
        <v>2419</v>
      </c>
      <c r="H34" s="412"/>
    </row>
    <row r="35" spans="1:15" s="53" customFormat="1" ht="13.8" customHeight="1">
      <c r="A35" s="333"/>
      <c r="B35" s="924" t="s">
        <v>2904</v>
      </c>
      <c r="C35" s="737"/>
      <c r="D35" s="621"/>
      <c r="E35" s="619"/>
      <c r="F35" s="618"/>
      <c r="H35" s="409"/>
      <c r="I35" s="82"/>
      <c r="J35" s="1282"/>
      <c r="K35" s="69"/>
      <c r="L35" s="70"/>
    </row>
    <row r="36" spans="1:15" s="53" customFormat="1" ht="13.2" customHeight="1">
      <c r="A36" s="333"/>
      <c r="B36" s="662" t="s">
        <v>1207</v>
      </c>
      <c r="C36" s="618"/>
      <c r="D36" s="621"/>
      <c r="E36" s="619"/>
      <c r="F36" s="618"/>
      <c r="G36" s="508"/>
      <c r="H36" s="409"/>
      <c r="I36" s="82"/>
      <c r="J36" s="1282"/>
      <c r="K36"/>
      <c r="L36" s="70"/>
    </row>
    <row r="37" spans="1:15" s="53" customFormat="1" ht="13.2" customHeight="1">
      <c r="A37" s="333"/>
      <c r="B37" s="662" t="s">
        <v>1540</v>
      </c>
      <c r="C37" s="618"/>
      <c r="D37" s="621"/>
      <c r="E37" s="619"/>
      <c r="F37" s="618"/>
      <c r="G37" s="508"/>
      <c r="H37" s="409"/>
      <c r="I37" s="82"/>
      <c r="J37"/>
      <c r="K37"/>
      <c r="L37" s="70"/>
    </row>
    <row r="38" spans="1:15" s="53" customFormat="1" ht="13.2" customHeight="1">
      <c r="A38" s="333"/>
      <c r="B38" s="781" t="s">
        <v>2877</v>
      </c>
      <c r="C38" s="618"/>
      <c r="D38" s="621"/>
      <c r="E38" s="619"/>
      <c r="F38" s="618"/>
      <c r="G38" s="508"/>
      <c r="H38" s="331"/>
      <c r="I38" s="82"/>
      <c r="J38" s="1282"/>
      <c r="K38" s="701"/>
      <c r="L38"/>
    </row>
    <row r="39" spans="1:15" s="53" customFormat="1" ht="13.8" customHeight="1">
      <c r="A39" s="1383"/>
      <c r="B39" s="2033"/>
      <c r="C39" s="2034" t="s">
        <v>655</v>
      </c>
      <c r="D39" s="1929"/>
      <c r="E39" s="2035"/>
      <c r="F39" s="2036"/>
      <c r="G39" s="2037"/>
      <c r="H39" s="2038"/>
      <c r="I39" s="82"/>
      <c r="J39" s="1282"/>
      <c r="L39" s="70"/>
    </row>
    <row r="40" spans="1:15">
      <c r="A40" s="485"/>
      <c r="B40" s="486"/>
      <c r="C40" s="462"/>
      <c r="D40" s="463"/>
      <c r="E40" s="464"/>
      <c r="F40" s="462"/>
      <c r="G40" s="486"/>
      <c r="H40" s="1871" t="s">
        <v>351</v>
      </c>
      <c r="K40"/>
    </row>
    <row r="41" spans="1:15" ht="15.6">
      <c r="A41" s="414"/>
      <c r="B41" s="107"/>
      <c r="C41" s="2110" t="s">
        <v>2892</v>
      </c>
      <c r="E41" s="416"/>
      <c r="F41" s="176"/>
      <c r="G41" s="107"/>
      <c r="H41" s="412"/>
      <c r="K41"/>
    </row>
    <row r="42" spans="1:15" ht="15.6">
      <c r="A42" s="414"/>
      <c r="B42" s="691"/>
      <c r="C42" s="494"/>
      <c r="D42" s="666"/>
      <c r="E42" s="1270"/>
      <c r="F42" s="1299"/>
      <c r="G42" s="691"/>
      <c r="H42" s="412"/>
      <c r="K42"/>
    </row>
    <row r="43" spans="1:15">
      <c r="A43" s="414"/>
      <c r="B43" s="658" t="s">
        <v>2444</v>
      </c>
      <c r="C43" s="166"/>
      <c r="D43" s="172"/>
      <c r="E43" s="180"/>
      <c r="F43" s="658" t="s">
        <v>1163</v>
      </c>
      <c r="G43" s="175"/>
      <c r="H43" s="412"/>
      <c r="K43"/>
    </row>
    <row r="44" spans="1:15" ht="15" customHeight="1">
      <c r="A44" s="414"/>
      <c r="B44" s="677" t="s">
        <v>2443</v>
      </c>
      <c r="C44" s="166"/>
      <c r="D44" s="925"/>
      <c r="E44" s="1409"/>
      <c r="F44" s="677" t="s">
        <v>2441</v>
      </c>
      <c r="G44" s="436"/>
      <c r="H44" s="417"/>
      <c r="K44"/>
    </row>
    <row r="45" spans="1:15" ht="15" customHeight="1">
      <c r="A45" s="414"/>
      <c r="B45" s="2062" t="s">
        <v>2445</v>
      </c>
      <c r="C45" s="176"/>
      <c r="D45" s="925"/>
      <c r="E45" s="1409"/>
      <c r="F45" s="2062" t="s">
        <v>2442</v>
      </c>
      <c r="G45" s="436"/>
      <c r="H45" s="412"/>
      <c r="J45" s="1286"/>
      <c r="K45"/>
      <c r="M45" s="4"/>
      <c r="N45" s="4"/>
      <c r="O45" s="4"/>
    </row>
    <row r="46" spans="1:15" ht="15.6" customHeight="1">
      <c r="A46" s="414"/>
      <c r="B46" s="107"/>
      <c r="C46" s="176"/>
      <c r="D46" s="209" t="s">
        <v>3</v>
      </c>
      <c r="E46" s="416"/>
      <c r="F46" s="176"/>
      <c r="G46" s="107"/>
      <c r="H46" s="412"/>
      <c r="O46" s="4"/>
    </row>
    <row r="47" spans="1:15" ht="15.6" customHeight="1">
      <c r="A47" s="414"/>
      <c r="B47" s="219" t="s">
        <v>657</v>
      </c>
      <c r="C47" s="605" t="s">
        <v>296</v>
      </c>
      <c r="D47" s="2081">
        <v>0.8660255</v>
      </c>
      <c r="E47" s="210"/>
      <c r="F47" s="176"/>
      <c r="G47" s="691"/>
      <c r="H47" s="412"/>
      <c r="K47"/>
      <c r="M47" s="4"/>
      <c r="N47" s="1219"/>
      <c r="O47" s="4"/>
    </row>
    <row r="48" spans="1:15" ht="15.6" customHeight="1">
      <c r="A48" s="414"/>
      <c r="B48" s="167" t="s">
        <v>656</v>
      </c>
      <c r="C48" s="168" t="s">
        <v>6</v>
      </c>
      <c r="D48" s="2082">
        <f>D47*D9/1000</f>
        <v>259627.91359573795</v>
      </c>
      <c r="E48" s="220" t="s">
        <v>684</v>
      </c>
      <c r="F48" s="219"/>
      <c r="G48" s="754"/>
      <c r="H48" s="412"/>
      <c r="M48" s="4"/>
      <c r="N48" s="1219"/>
      <c r="O48" s="4"/>
    </row>
    <row r="49" spans="1:15" ht="15.6" customHeight="1">
      <c r="A49" s="414"/>
      <c r="B49" s="167" t="s">
        <v>2175</v>
      </c>
      <c r="C49" s="168" t="s">
        <v>1</v>
      </c>
      <c r="D49" s="1187">
        <v>20</v>
      </c>
      <c r="E49" s="220" t="s">
        <v>1112</v>
      </c>
      <c r="F49" s="176"/>
      <c r="G49" s="629"/>
      <c r="H49" s="412"/>
      <c r="K49"/>
      <c r="M49" s="4"/>
      <c r="N49" s="1219"/>
      <c r="O49" s="4"/>
    </row>
    <row r="50" spans="1:15" ht="15.6" customHeight="1">
      <c r="A50" s="414"/>
      <c r="B50" s="167" t="s">
        <v>2034</v>
      </c>
      <c r="C50" s="168" t="s">
        <v>7</v>
      </c>
      <c r="D50" s="1187">
        <v>200</v>
      </c>
      <c r="E50" s="220" t="s">
        <v>681</v>
      </c>
      <c r="F50" s="167"/>
      <c r="H50" s="412"/>
      <c r="K50"/>
      <c r="M50" s="4"/>
      <c r="N50" s="4"/>
      <c r="O50" s="4"/>
    </row>
    <row r="51" spans="1:15">
      <c r="A51" s="414"/>
      <c r="B51" s="167"/>
      <c r="C51" s="168"/>
      <c r="D51" s="1121"/>
      <c r="E51" s="220"/>
      <c r="F51" s="167"/>
      <c r="G51" s="1926"/>
      <c r="H51" s="412"/>
    </row>
    <row r="52" spans="1:15" ht="15.6" customHeight="1">
      <c r="A52" s="414"/>
      <c r="B52" s="107"/>
      <c r="C52" s="176"/>
      <c r="D52" s="209" t="s">
        <v>4</v>
      </c>
      <c r="E52" s="416"/>
      <c r="F52" s="176"/>
      <c r="G52" s="43"/>
      <c r="H52" s="412"/>
    </row>
    <row r="53" spans="1:15" ht="15.6" customHeight="1">
      <c r="A53" s="414"/>
      <c r="B53" s="167" t="s">
        <v>2105</v>
      </c>
      <c r="C53" s="1122" t="s">
        <v>2315</v>
      </c>
      <c r="D53" s="2108">
        <f>1/(SQRT(1-(POWER(D47,2))))</f>
        <v>2.0000006666013332</v>
      </c>
      <c r="E53" s="606"/>
      <c r="F53" s="167"/>
      <c r="G53" s="80"/>
      <c r="H53" s="412"/>
    </row>
    <row r="54" spans="1:15" ht="15.6" customHeight="1">
      <c r="A54" s="414"/>
      <c r="B54" s="167" t="s">
        <v>2716</v>
      </c>
      <c r="C54" s="168" t="s">
        <v>653</v>
      </c>
      <c r="D54" s="1353">
        <f>D49/D53</f>
        <v>9.9999966669944449</v>
      </c>
      <c r="E54" s="220" t="s">
        <v>1112</v>
      </c>
      <c r="F54" s="167"/>
      <c r="G54" s="2248"/>
      <c r="H54" s="412"/>
      <c r="I54" s="83"/>
      <c r="K54"/>
    </row>
    <row r="55" spans="1:15" ht="15.6" customHeight="1">
      <c r="A55" s="414"/>
      <c r="B55" s="167" t="s">
        <v>1617</v>
      </c>
      <c r="C55" s="168" t="s">
        <v>654</v>
      </c>
      <c r="D55" s="1353">
        <f>D50/D53</f>
        <v>99.999966669944442</v>
      </c>
      <c r="E55" s="220" t="s">
        <v>681</v>
      </c>
      <c r="F55" s="176"/>
      <c r="G55" s="107"/>
      <c r="H55" s="412"/>
      <c r="I55" s="83"/>
      <c r="K55"/>
      <c r="L55"/>
    </row>
    <row r="56" spans="1:15" ht="15.6" customHeight="1">
      <c r="A56" s="414"/>
      <c r="B56" s="223" t="s">
        <v>2439</v>
      </c>
      <c r="C56" s="111" t="s">
        <v>2440</v>
      </c>
      <c r="D56" s="2227">
        <f>100/D50*D55</f>
        <v>49.999983334972221</v>
      </c>
      <c r="E56" s="110" t="s">
        <v>2587</v>
      </c>
      <c r="F56" s="176"/>
      <c r="G56" s="107"/>
      <c r="H56" s="412"/>
      <c r="I56" s="83"/>
      <c r="K56"/>
      <c r="L56"/>
    </row>
    <row r="57" spans="1:15">
      <c r="A57" s="414"/>
      <c r="B57" s="107"/>
      <c r="C57" s="176"/>
      <c r="D57" s="347"/>
      <c r="E57" s="110"/>
      <c r="F57" s="176"/>
      <c r="G57" s="107"/>
      <c r="H57" s="417"/>
      <c r="I57" s="84"/>
      <c r="K57"/>
    </row>
    <row r="58" spans="1:15">
      <c r="A58" s="414"/>
      <c r="B58" s="107"/>
      <c r="C58" s="1552" t="s">
        <v>1932</v>
      </c>
      <c r="D58" s="347"/>
      <c r="E58" s="416"/>
      <c r="F58" s="166"/>
      <c r="G58" s="175"/>
      <c r="H58" s="409"/>
      <c r="I58" s="85"/>
      <c r="J58" s="1287"/>
      <c r="K58" s="699"/>
    </row>
    <row r="59" spans="1:15">
      <c r="A59" s="414"/>
      <c r="B59" s="27"/>
      <c r="C59" s="184" t="s">
        <v>2267</v>
      </c>
      <c r="D59" s="172"/>
      <c r="E59" s="416"/>
      <c r="F59" s="171"/>
      <c r="G59" s="175"/>
      <c r="H59" s="412"/>
      <c r="I59" s="86"/>
      <c r="J59" s="1284"/>
      <c r="K59" s="1120" t="s">
        <v>359</v>
      </c>
    </row>
    <row r="60" spans="1:15">
      <c r="A60" s="414"/>
      <c r="B60" s="175"/>
      <c r="C60" s="184" t="s">
        <v>2277</v>
      </c>
      <c r="D60" s="172"/>
      <c r="E60" s="416"/>
      <c r="F60" s="41"/>
      <c r="G60" s="175"/>
      <c r="H60" s="412"/>
      <c r="K60" s="699"/>
    </row>
    <row r="61" spans="1:15">
      <c r="A61" s="414"/>
      <c r="B61" s="175"/>
      <c r="C61" s="184" t="s">
        <v>2496</v>
      </c>
      <c r="D61" s="172"/>
      <c r="E61" s="238"/>
      <c r="F61" s="166"/>
      <c r="G61" s="175"/>
      <c r="H61" s="412"/>
      <c r="J61" s="1287"/>
      <c r="K61" s="699"/>
    </row>
    <row r="62" spans="1:15" ht="14.4" customHeight="1">
      <c r="A62" s="414"/>
      <c r="B62" s="439"/>
      <c r="C62" s="184" t="s">
        <v>2461</v>
      </c>
      <c r="D62" s="424"/>
      <c r="E62" s="238"/>
      <c r="F62" s="167"/>
      <c r="G62" s="175"/>
      <c r="H62" s="412"/>
      <c r="J62" s="1284"/>
    </row>
    <row r="63" spans="1:15" ht="15.6">
      <c r="A63" s="414"/>
      <c r="B63" s="175"/>
      <c r="C63" s="184" t="s">
        <v>1937</v>
      </c>
      <c r="D63" s="607"/>
      <c r="E63" s="238"/>
      <c r="F63" s="167"/>
      <c r="G63" s="185"/>
      <c r="H63" s="412"/>
      <c r="J63" s="1284"/>
    </row>
    <row r="64" spans="1:15">
      <c r="A64" s="414"/>
      <c r="B64" s="439"/>
      <c r="C64" s="2109" t="s">
        <v>2278</v>
      </c>
      <c r="D64" s="188"/>
      <c r="E64" s="606"/>
      <c r="F64" s="41"/>
      <c r="G64" s="27"/>
      <c r="H64" s="412"/>
    </row>
    <row r="65" spans="1:15" ht="15">
      <c r="A65" s="414"/>
      <c r="B65" s="27"/>
      <c r="C65" s="184" t="s">
        <v>2906</v>
      </c>
      <c r="D65" s="424"/>
      <c r="E65" s="415"/>
      <c r="F65" s="407"/>
      <c r="G65" s="186"/>
      <c r="H65" s="412"/>
      <c r="I65" s="87"/>
    </row>
    <row r="66" spans="1:15">
      <c r="A66" s="414"/>
      <c r="B66" s="1858" t="s">
        <v>427</v>
      </c>
      <c r="C66" s="187" t="s">
        <v>2907</v>
      </c>
      <c r="D66" s="424"/>
      <c r="E66" s="238"/>
      <c r="F66" s="167"/>
      <c r="G66" s="175"/>
      <c r="H66" s="412"/>
      <c r="I66" s="87"/>
      <c r="J66" s="1149"/>
      <c r="K66" s="699"/>
    </row>
    <row r="67" spans="1:15">
      <c r="A67" s="414"/>
      <c r="B67" s="107"/>
      <c r="C67" s="2109" t="s">
        <v>2890</v>
      </c>
      <c r="D67" s="2100"/>
      <c r="E67" s="1270"/>
      <c r="F67" s="1299"/>
      <c r="G67" s="691"/>
      <c r="H67" s="412"/>
      <c r="I67" s="88"/>
      <c r="J67" s="1288"/>
      <c r="K67" s="699"/>
    </row>
    <row r="68" spans="1:15">
      <c r="A68" s="414"/>
      <c r="B68" s="107"/>
      <c r="C68" s="184" t="s">
        <v>2891</v>
      </c>
      <c r="D68" s="172"/>
      <c r="E68" s="238"/>
      <c r="F68" s="166"/>
      <c r="G68" s="175"/>
      <c r="H68" s="412"/>
      <c r="J68" s="1149"/>
      <c r="K68" s="699"/>
    </row>
    <row r="69" spans="1:15" ht="13.8" customHeight="1">
      <c r="A69" s="414"/>
      <c r="B69" s="107"/>
      <c r="D69" s="347"/>
      <c r="E69" s="1222" t="s">
        <v>2889</v>
      </c>
      <c r="F69" s="166"/>
      <c r="G69" s="175"/>
      <c r="H69" s="417"/>
    </row>
    <row r="70" spans="1:15">
      <c r="A70" s="414"/>
      <c r="B70" s="107"/>
      <c r="C70" s="1222" t="s">
        <v>2458</v>
      </c>
      <c r="D70" s="347"/>
      <c r="E70" s="416"/>
      <c r="F70" s="176"/>
      <c r="G70" s="347"/>
      <c r="H70" s="412"/>
    </row>
    <row r="71" spans="1:15">
      <c r="A71" s="414"/>
      <c r="B71" s="27"/>
      <c r="C71" s="1176" t="s">
        <v>1938</v>
      </c>
      <c r="D71" s="347"/>
      <c r="E71" s="416"/>
      <c r="F71" s="176"/>
      <c r="G71" s="107"/>
      <c r="H71" s="412"/>
      <c r="J71" s="1149"/>
      <c r="K71" s="699"/>
      <c r="L71" s="626"/>
      <c r="M71" s="4"/>
      <c r="N71" s="4"/>
      <c r="O71" s="4"/>
    </row>
    <row r="72" spans="1:15">
      <c r="A72" s="414"/>
      <c r="B72" s="107"/>
      <c r="C72" s="1222" t="s">
        <v>2459</v>
      </c>
      <c r="D72" s="347"/>
      <c r="E72" s="416"/>
      <c r="F72" s="176"/>
      <c r="G72" s="107"/>
      <c r="H72" s="412"/>
      <c r="J72" s="1149"/>
      <c r="K72" s="1123"/>
      <c r="L72" s="626"/>
      <c r="M72" s="4"/>
      <c r="N72" s="4"/>
      <c r="O72" s="4"/>
    </row>
    <row r="73" spans="1:15">
      <c r="A73" s="414"/>
      <c r="B73" s="593"/>
      <c r="C73" s="1222" t="s">
        <v>2460</v>
      </c>
      <c r="D73" s="347"/>
      <c r="E73" s="416"/>
      <c r="F73" s="176"/>
      <c r="G73" s="107"/>
      <c r="H73" s="412"/>
      <c r="J73" s="1149"/>
      <c r="K73" s="1124"/>
      <c r="L73" s="626"/>
      <c r="M73" s="4"/>
      <c r="N73" s="4"/>
      <c r="O73" s="4"/>
    </row>
    <row r="74" spans="1:15">
      <c r="A74" s="414"/>
      <c r="B74" s="107"/>
      <c r="C74" s="1222" t="s">
        <v>2908</v>
      </c>
      <c r="D74" s="347"/>
      <c r="E74" s="238"/>
      <c r="F74" s="166"/>
      <c r="G74" s="175"/>
      <c r="H74" s="412"/>
      <c r="J74" s="1149"/>
      <c r="K74" s="699"/>
      <c r="L74" s="626"/>
      <c r="M74" s="4"/>
      <c r="N74" s="4"/>
      <c r="O74" s="4"/>
    </row>
    <row r="75" spans="1:15" ht="14.4" customHeight="1">
      <c r="A75" s="414"/>
      <c r="B75" s="1858" t="s">
        <v>1162</v>
      </c>
      <c r="C75" s="1222" t="s">
        <v>2909</v>
      </c>
      <c r="D75" s="607"/>
      <c r="E75" s="177"/>
      <c r="F75" s="190"/>
      <c r="G75" s="179"/>
      <c r="H75" s="412"/>
    </row>
    <row r="76" spans="1:15" ht="14.4" customHeight="1">
      <c r="A76" s="414"/>
      <c r="B76" s="2406" t="s">
        <v>1897</v>
      </c>
      <c r="C76" s="176"/>
      <c r="D76" s="1222" t="s">
        <v>2910</v>
      </c>
      <c r="E76" s="347"/>
      <c r="F76" s="176"/>
      <c r="G76" s="107"/>
      <c r="H76" s="412"/>
    </row>
    <row r="77" spans="1:15" s="592" customFormat="1" ht="10.199999999999999" customHeight="1">
      <c r="A77" s="590"/>
      <c r="B77" s="1256"/>
      <c r="C77" s="419"/>
      <c r="D77" s="1181"/>
      <c r="E77" s="418"/>
      <c r="F77" s="609"/>
      <c r="G77" s="395"/>
      <c r="H77" s="1251"/>
      <c r="I77" s="591"/>
      <c r="J77" s="1285"/>
      <c r="K77" s="703"/>
      <c r="L77" s="78"/>
    </row>
    <row r="78" spans="1:15" ht="18" customHeight="1">
      <c r="A78" s="485"/>
      <c r="B78" s="2236" t="s">
        <v>2172</v>
      </c>
      <c r="C78" s="403"/>
      <c r="D78" s="404"/>
      <c r="E78" s="405"/>
      <c r="F78" s="403"/>
      <c r="G78" s="422"/>
      <c r="H78" s="1871" t="s">
        <v>350</v>
      </c>
    </row>
    <row r="79" spans="1:15" ht="15" customHeight="1">
      <c r="A79" s="414"/>
      <c r="B79" s="2234" t="s">
        <v>2189</v>
      </c>
      <c r="C79" s="166"/>
      <c r="D79" s="209" t="s">
        <v>3</v>
      </c>
      <c r="E79" s="238"/>
      <c r="F79" s="166"/>
      <c r="G79" s="175"/>
      <c r="H79" s="412"/>
    </row>
    <row r="80" spans="1:15" ht="15.75" customHeight="1">
      <c r="A80" s="414"/>
      <c r="B80" s="674" t="s">
        <v>1164</v>
      </c>
      <c r="C80" s="168" t="s">
        <v>9</v>
      </c>
      <c r="D80" s="255">
        <v>100000</v>
      </c>
      <c r="E80" s="220" t="s">
        <v>684</v>
      </c>
      <c r="F80" s="2228">
        <f>(100/D9*1000)*D80</f>
        <v>33.356409486403415</v>
      </c>
      <c r="G80" s="194" t="s">
        <v>17</v>
      </c>
      <c r="H80" s="428"/>
      <c r="I80" s="77"/>
    </row>
    <row r="81" spans="1:12" ht="15" customHeight="1">
      <c r="A81" s="414"/>
      <c r="B81" s="1918" t="s">
        <v>1165</v>
      </c>
      <c r="C81" s="168" t="s">
        <v>6</v>
      </c>
      <c r="D81" s="255">
        <v>10000</v>
      </c>
      <c r="E81" s="220" t="s">
        <v>684</v>
      </c>
      <c r="F81" s="2228">
        <f>(100/D9*1000)*D81</f>
        <v>3.3356409486403416</v>
      </c>
      <c r="G81" s="194" t="s">
        <v>17</v>
      </c>
      <c r="H81" s="412"/>
    </row>
    <row r="82" spans="1:12">
      <c r="A82" s="414"/>
      <c r="B82" s="125" t="s">
        <v>2265</v>
      </c>
      <c r="D82" s="2000" t="s">
        <v>271</v>
      </c>
      <c r="E82" s="236" t="s">
        <v>2578</v>
      </c>
      <c r="F82" s="223"/>
      <c r="G82" s="99"/>
      <c r="H82" s="428"/>
      <c r="I82" s="77"/>
    </row>
    <row r="83" spans="1:12" s="1" customFormat="1">
      <c r="A83" s="429"/>
      <c r="B83" s="341"/>
      <c r="C83" s="341"/>
      <c r="D83" s="341"/>
      <c r="E83" s="341"/>
      <c r="F83" s="341"/>
      <c r="G83" s="341"/>
      <c r="H83" s="412"/>
      <c r="I83" s="89"/>
      <c r="J83" s="1147"/>
      <c r="K83" s="700"/>
      <c r="L83" s="5"/>
    </row>
    <row r="84" spans="1:12">
      <c r="A84" s="414"/>
      <c r="B84" s="107"/>
      <c r="C84" s="1220" t="s">
        <v>652</v>
      </c>
      <c r="D84" s="195"/>
      <c r="E84" s="210"/>
      <c r="F84" s="219"/>
      <c r="G84" s="195"/>
      <c r="H84" s="430"/>
      <c r="J84" s="1149"/>
      <c r="K84" s="699"/>
      <c r="L84" s="626"/>
    </row>
    <row r="85" spans="1:12">
      <c r="A85" s="414"/>
      <c r="B85" s="175"/>
      <c r="C85" s="1176" t="s">
        <v>1936</v>
      </c>
      <c r="D85" s="172"/>
      <c r="E85" s="238"/>
      <c r="F85" s="166"/>
      <c r="G85" s="175"/>
      <c r="H85" s="412"/>
      <c r="J85" s="1149"/>
      <c r="K85"/>
      <c r="L85" s="626"/>
    </row>
    <row r="86" spans="1:12">
      <c r="A86" s="414"/>
      <c r="B86" s="27"/>
      <c r="C86" s="1176" t="s">
        <v>1395</v>
      </c>
      <c r="D86" s="172"/>
      <c r="E86" s="238"/>
      <c r="F86" s="166"/>
      <c r="G86" s="175"/>
      <c r="H86" s="412"/>
      <c r="J86" s="1149"/>
      <c r="K86"/>
      <c r="L86" s="626"/>
    </row>
    <row r="87" spans="1:12" ht="16.5" customHeight="1">
      <c r="A87" s="414"/>
      <c r="B87" s="1857" t="s">
        <v>2118</v>
      </c>
      <c r="C87" s="1176" t="s">
        <v>1396</v>
      </c>
      <c r="D87" s="178"/>
      <c r="E87" s="173"/>
      <c r="F87" s="167"/>
      <c r="G87" s="178"/>
      <c r="H87" s="431"/>
      <c r="J87" s="1289"/>
      <c r="K87" s="2144"/>
      <c r="L87" s="626"/>
    </row>
    <row r="88" spans="1:12" s="5" customFormat="1" ht="16.5" customHeight="1">
      <c r="A88" s="432"/>
      <c r="B88" s="343"/>
      <c r="C88" s="343"/>
      <c r="D88" s="343"/>
      <c r="E88" s="343"/>
      <c r="F88" s="343"/>
      <c r="G88" s="343"/>
      <c r="H88" s="433"/>
      <c r="I88" s="624"/>
      <c r="J88" s="1290"/>
      <c r="K88"/>
      <c r="L88" s="90"/>
    </row>
    <row r="89" spans="1:12" ht="16.5" customHeight="1">
      <c r="A89" s="414"/>
      <c r="B89" s="1020" t="s">
        <v>2166</v>
      </c>
      <c r="C89" s="196"/>
      <c r="D89" s="209" t="s">
        <v>4</v>
      </c>
      <c r="E89" s="173"/>
      <c r="F89" s="167"/>
      <c r="G89" s="107"/>
      <c r="H89" s="412"/>
      <c r="I89" s="43"/>
      <c r="J89" s="1289"/>
      <c r="K89" s="640"/>
      <c r="L89" s="626"/>
    </row>
    <row r="90" spans="1:12" ht="16.5" customHeight="1">
      <c r="A90" s="414"/>
      <c r="B90" s="407" t="s">
        <v>752</v>
      </c>
      <c r="C90" s="168" t="s">
        <v>2291</v>
      </c>
      <c r="D90" s="1356">
        <f>D80+D81</f>
        <v>110000</v>
      </c>
      <c r="E90" s="220" t="s">
        <v>684</v>
      </c>
      <c r="F90" s="167"/>
      <c r="G90" s="96"/>
      <c r="H90" s="412"/>
      <c r="I90" s="43"/>
      <c r="J90" s="1"/>
      <c r="K90" s="640"/>
      <c r="L90" s="626"/>
    </row>
    <row r="91" spans="1:12" ht="16.5" customHeight="1">
      <c r="A91" s="414"/>
      <c r="B91" s="167" t="s">
        <v>2167</v>
      </c>
      <c r="C91" s="196"/>
      <c r="D91" s="197"/>
      <c r="E91" s="220"/>
      <c r="F91" s="166"/>
      <c r="G91" s="27"/>
      <c r="H91" s="412"/>
      <c r="I91" s="43"/>
      <c r="J91" s="1290"/>
      <c r="K91" s="640"/>
      <c r="L91" s="626"/>
    </row>
    <row r="92" spans="1:12" ht="16.5" customHeight="1">
      <c r="A92" s="414"/>
      <c r="B92" s="407" t="s">
        <v>753</v>
      </c>
      <c r="C92" s="168" t="s">
        <v>2292</v>
      </c>
      <c r="D92" s="1356">
        <f>(D80+D81)/(1+((D80*D81))/(POWER(D9/1000,2)))</f>
        <v>108789.55298021014</v>
      </c>
      <c r="E92" s="220" t="s">
        <v>684</v>
      </c>
      <c r="F92" s="167"/>
      <c r="G92" s="80"/>
      <c r="H92" s="412"/>
      <c r="J92" s="1149"/>
      <c r="K92"/>
      <c r="L92" s="626"/>
    </row>
    <row r="93" spans="1:12" ht="16.5" customHeight="1">
      <c r="A93" s="414"/>
      <c r="B93" s="167" t="s">
        <v>428</v>
      </c>
      <c r="C93" s="168" t="s">
        <v>282</v>
      </c>
      <c r="D93" s="1405">
        <f>((D90-D92)/D92)*100</f>
        <v>1.1126500538246118</v>
      </c>
      <c r="E93" s="220" t="s">
        <v>699</v>
      </c>
      <c r="F93" s="167"/>
      <c r="G93" s="81"/>
      <c r="H93" s="412"/>
      <c r="J93" s="1149"/>
      <c r="K93" s="699"/>
      <c r="L93" s="626"/>
    </row>
    <row r="94" spans="1:12" s="1" customFormat="1" ht="15" customHeight="1">
      <c r="A94" s="429"/>
      <c r="B94" s="341"/>
      <c r="C94" s="200"/>
      <c r="D94" s="441"/>
      <c r="E94" s="173"/>
      <c r="F94" s="167"/>
      <c r="G94" s="952"/>
      <c r="H94" s="430"/>
      <c r="I94" s="89"/>
      <c r="J94" s="1149"/>
      <c r="K94" s="1148"/>
      <c r="L94" s="90"/>
    </row>
    <row r="95" spans="1:12" ht="15" customHeight="1">
      <c r="A95" s="414"/>
      <c r="B95" s="658" t="s">
        <v>2417</v>
      </c>
      <c r="C95" s="176"/>
      <c r="D95" s="607"/>
      <c r="E95" s="416"/>
      <c r="F95" s="176"/>
      <c r="G95" s="175"/>
      <c r="H95" s="412"/>
      <c r="J95" s="1149"/>
      <c r="K95"/>
      <c r="L95" s="626"/>
    </row>
    <row r="96" spans="1:12" s="592" customFormat="1" ht="16.2" customHeight="1">
      <c r="A96" s="905"/>
      <c r="B96" s="2137" t="s">
        <v>2652</v>
      </c>
      <c r="C96" s="1167"/>
      <c r="D96" s="1168"/>
      <c r="E96" s="1169"/>
      <c r="F96" s="1851"/>
      <c r="G96" s="1856" t="s">
        <v>480</v>
      </c>
      <c r="H96" s="1171"/>
      <c r="I96" s="591"/>
      <c r="J96" s="1285"/>
      <c r="L96" s="78"/>
    </row>
    <row r="97" spans="1:12" ht="16.2" customHeight="1">
      <c r="A97" s="414"/>
      <c r="B97" s="2234" t="s">
        <v>2717</v>
      </c>
      <c r="C97" s="166"/>
      <c r="D97" s="209" t="s">
        <v>3</v>
      </c>
      <c r="E97" s="238"/>
      <c r="F97" s="1186"/>
      <c r="G97" s="928" t="s">
        <v>1515</v>
      </c>
      <c r="H97" s="412"/>
    </row>
    <row r="98" spans="1:12" ht="16.2">
      <c r="A98" s="414"/>
      <c r="B98" s="167" t="s">
        <v>19</v>
      </c>
      <c r="C98" s="168" t="s">
        <v>2293</v>
      </c>
      <c r="D98" s="267">
        <v>7.3489999999999999E+22</v>
      </c>
      <c r="E98" s="220" t="s">
        <v>680</v>
      </c>
      <c r="F98" s="1847" t="s">
        <v>2559</v>
      </c>
      <c r="G98" s="107"/>
      <c r="H98" s="412"/>
    </row>
    <row r="99" spans="1:12" ht="16.2" customHeight="1">
      <c r="A99" s="414"/>
      <c r="B99" s="167" t="s">
        <v>20</v>
      </c>
      <c r="C99" s="168" t="s">
        <v>2296</v>
      </c>
      <c r="D99" s="259">
        <v>100</v>
      </c>
      <c r="E99" s="220" t="s">
        <v>680</v>
      </c>
      <c r="F99" s="1209" t="s">
        <v>2560</v>
      </c>
      <c r="G99" s="107"/>
      <c r="H99" s="412"/>
      <c r="K99"/>
    </row>
    <row r="100" spans="1:12" ht="16.2" customHeight="1">
      <c r="A100" s="414"/>
      <c r="B100" s="167" t="s">
        <v>295</v>
      </c>
      <c r="C100" s="168" t="s">
        <v>21</v>
      </c>
      <c r="D100" s="258">
        <v>1737</v>
      </c>
      <c r="E100" s="220" t="s">
        <v>1018</v>
      </c>
      <c r="F100" s="2229" t="s">
        <v>2561</v>
      </c>
      <c r="G100" s="107"/>
      <c r="H100" s="412"/>
      <c r="K100"/>
    </row>
    <row r="101" spans="1:12" ht="16.2" customHeight="1">
      <c r="A101" s="414"/>
      <c r="B101" s="663" t="s">
        <v>62</v>
      </c>
      <c r="C101" s="180" t="s">
        <v>2653</v>
      </c>
      <c r="D101" s="1553"/>
      <c r="E101" s="210"/>
      <c r="F101" s="219"/>
      <c r="G101" s="435"/>
      <c r="H101" s="412"/>
      <c r="K101"/>
      <c r="L101"/>
    </row>
    <row r="102" spans="1:12" ht="16.2" customHeight="1">
      <c r="A102" s="414"/>
      <c r="B102" s="1941"/>
      <c r="C102" s="180" t="s">
        <v>2654</v>
      </c>
      <c r="D102" s="1554"/>
      <c r="E102" s="210"/>
      <c r="F102" s="219"/>
      <c r="G102" s="436"/>
      <c r="H102" s="412"/>
      <c r="K102"/>
    </row>
    <row r="103" spans="1:12" s="592" customFormat="1" ht="15" customHeight="1">
      <c r="A103" s="905"/>
      <c r="B103" s="2084" t="s">
        <v>2406</v>
      </c>
      <c r="C103" s="1555"/>
      <c r="D103" s="1913" t="s">
        <v>4</v>
      </c>
      <c r="E103" s="1551"/>
      <c r="F103" s="1555"/>
      <c r="G103" s="1939"/>
      <c r="H103" s="1171"/>
      <c r="I103" s="591"/>
      <c r="J103" s="1285"/>
      <c r="K103" s="1940"/>
      <c r="L103" s="78"/>
    </row>
    <row r="104" spans="1:12" s="5" customFormat="1" ht="15" customHeight="1">
      <c r="A104" s="432"/>
      <c r="B104" s="167" t="s">
        <v>1523</v>
      </c>
      <c r="C104" s="168" t="s">
        <v>2295</v>
      </c>
      <c r="D104" s="1354">
        <f>D30*(D98*D99/POWER(D100,2))/1000000</f>
        <v>162.56724008499356</v>
      </c>
      <c r="E104" s="220" t="s">
        <v>682</v>
      </c>
      <c r="F104" s="167"/>
      <c r="G104" s="80"/>
      <c r="H104" s="412"/>
      <c r="I104" s="90"/>
      <c r="J104" s="1147"/>
      <c r="K104"/>
    </row>
    <row r="105" spans="1:12">
      <c r="A105" s="414"/>
      <c r="B105" s="2083" t="s">
        <v>2609</v>
      </c>
      <c r="C105" s="168" t="s">
        <v>562</v>
      </c>
      <c r="D105" s="1356">
        <f>D104</f>
        <v>162.56724008499356</v>
      </c>
      <c r="E105" s="220" t="s">
        <v>682</v>
      </c>
      <c r="F105" s="167"/>
      <c r="G105" s="97"/>
      <c r="H105" s="412"/>
      <c r="K105" s="640"/>
    </row>
    <row r="106" spans="1:12">
      <c r="A106" s="414"/>
      <c r="B106" s="125" t="s">
        <v>359</v>
      </c>
      <c r="C106" s="176"/>
      <c r="D106" s="347"/>
      <c r="E106" s="416"/>
      <c r="F106" s="176"/>
      <c r="G106" s="343"/>
      <c r="H106" s="412"/>
      <c r="K106" s="640"/>
    </row>
    <row r="107" spans="1:12" s="53" customFormat="1" ht="15.6">
      <c r="A107" s="333"/>
      <c r="B107" s="492" t="s">
        <v>670</v>
      </c>
      <c r="C107" s="618"/>
      <c r="D107" s="335" t="s">
        <v>3</v>
      </c>
      <c r="E107" s="619"/>
      <c r="F107" s="826" t="s">
        <v>35</v>
      </c>
      <c r="G107" s="1050" t="s">
        <v>1869</v>
      </c>
      <c r="H107" s="409"/>
      <c r="I107" s="82"/>
      <c r="J107" s="1291"/>
      <c r="K107"/>
      <c r="L107" s="70"/>
    </row>
    <row r="108" spans="1:12" s="53" customFormat="1" ht="15.6" customHeight="1">
      <c r="A108" s="333"/>
      <c r="B108" s="648" t="s">
        <v>15</v>
      </c>
      <c r="C108" s="506" t="s">
        <v>55</v>
      </c>
      <c r="D108" s="267">
        <v>7.3489999999999999E+22</v>
      </c>
      <c r="E108" s="348" t="s">
        <v>680</v>
      </c>
      <c r="F108" s="618"/>
      <c r="G108" s="2377" t="s">
        <v>1392</v>
      </c>
      <c r="H108" s="409"/>
      <c r="I108" s="82"/>
      <c r="J108" s="1291"/>
      <c r="K108"/>
      <c r="L108" s="70"/>
    </row>
    <row r="109" spans="1:12" s="53" customFormat="1" ht="15.75" customHeight="1">
      <c r="A109" s="333"/>
      <c r="B109" s="648" t="s">
        <v>671</v>
      </c>
      <c r="C109" s="506" t="s">
        <v>21</v>
      </c>
      <c r="D109" s="258">
        <v>1737</v>
      </c>
      <c r="E109" s="348" t="s">
        <v>1018</v>
      </c>
      <c r="F109" s="618"/>
      <c r="G109" s="187" t="s">
        <v>2106</v>
      </c>
      <c r="H109" s="594"/>
      <c r="I109" s="82"/>
      <c r="J109" s="1147"/>
      <c r="K109"/>
      <c r="L109" s="70"/>
    </row>
    <row r="110" spans="1:12" ht="15.6" customHeight="1">
      <c r="A110" s="414"/>
      <c r="B110" s="691"/>
      <c r="C110" s="176"/>
      <c r="D110" s="347"/>
      <c r="E110" s="416"/>
      <c r="F110" s="618"/>
      <c r="G110" s="1222" t="s">
        <v>2107</v>
      </c>
      <c r="H110" s="412"/>
      <c r="K110" s="699"/>
    </row>
    <row r="111" spans="1:12">
      <c r="A111" s="414"/>
      <c r="B111" s="691"/>
      <c r="C111" s="111"/>
      <c r="D111" s="15" t="s">
        <v>4</v>
      </c>
      <c r="E111" s="110"/>
      <c r="F111" s="176"/>
      <c r="G111" s="360"/>
      <c r="H111" s="412"/>
      <c r="K111" s="699"/>
    </row>
    <row r="112" spans="1:12" ht="15" customHeight="1">
      <c r="A112" s="414"/>
      <c r="B112" s="223" t="s">
        <v>668</v>
      </c>
      <c r="C112" s="111" t="s">
        <v>669</v>
      </c>
      <c r="D112" s="1365">
        <f>D30*D108/(POWER(D109,2))/1000000</f>
        <v>1.6256724008499359</v>
      </c>
      <c r="E112" s="110" t="s">
        <v>2072</v>
      </c>
      <c r="F112" s="176"/>
      <c r="G112" s="608"/>
      <c r="H112" s="412"/>
      <c r="K112" s="617"/>
    </row>
    <row r="113" spans="1:13" s="1" customFormat="1" ht="16.2" customHeight="1">
      <c r="A113" s="689"/>
      <c r="B113" s="1855" t="s">
        <v>2407</v>
      </c>
      <c r="C113" s="437"/>
      <c r="D113" s="1937" t="s">
        <v>2883</v>
      </c>
      <c r="E113" s="437"/>
      <c r="F113" s="426"/>
      <c r="G113" s="481"/>
      <c r="H113" s="484"/>
      <c r="I113" s="89"/>
      <c r="J113" s="1147"/>
      <c r="K113" s="1148"/>
      <c r="L113" s="5"/>
    </row>
    <row r="114" spans="1:13" ht="17.399999999999999" customHeight="1">
      <c r="A114" s="485"/>
      <c r="B114" s="2061" t="s">
        <v>2395</v>
      </c>
      <c r="C114" s="403"/>
      <c r="D114" s="404"/>
      <c r="E114" s="405"/>
      <c r="F114" s="403"/>
      <c r="G114" s="422"/>
      <c r="H114" s="1871" t="s">
        <v>349</v>
      </c>
      <c r="J114" s="1194"/>
      <c r="K114"/>
    </row>
    <row r="115" spans="1:13" ht="17.25" customHeight="1">
      <c r="A115" s="414"/>
      <c r="B115" s="2062" t="s">
        <v>2884</v>
      </c>
      <c r="C115" s="1942" t="s">
        <v>2244</v>
      </c>
      <c r="D115" s="201"/>
      <c r="E115" s="173"/>
      <c r="F115" s="167"/>
      <c r="G115" s="438"/>
      <c r="H115" s="412"/>
      <c r="J115" s="1293"/>
    </row>
    <row r="116" spans="1:13" ht="15.6">
      <c r="A116" s="414"/>
      <c r="B116" s="202" t="s">
        <v>376</v>
      </c>
      <c r="C116" s="1915" t="s">
        <v>739</v>
      </c>
      <c r="D116" s="172"/>
      <c r="F116" s="166"/>
      <c r="G116" s="438"/>
      <c r="H116" s="412"/>
      <c r="K116" s="699"/>
    </row>
    <row r="117" spans="1:13">
      <c r="A117" s="414"/>
      <c r="B117" s="2086" t="s">
        <v>264</v>
      </c>
      <c r="C117" s="167"/>
      <c r="D117" s="172"/>
      <c r="E117" s="1270"/>
      <c r="F117" s="1299"/>
      <c r="G117" s="1408" t="s">
        <v>2847</v>
      </c>
      <c r="H117" s="412"/>
    </row>
    <row r="118" spans="1:13">
      <c r="A118" s="414"/>
      <c r="B118" s="193" t="s">
        <v>263</v>
      </c>
      <c r="C118" s="167"/>
      <c r="D118" s="209" t="s">
        <v>3</v>
      </c>
      <c r="F118" s="1299"/>
      <c r="G118" s="1408" t="s">
        <v>2848</v>
      </c>
      <c r="H118" s="412"/>
    </row>
    <row r="119" spans="1:13">
      <c r="A119" s="414"/>
      <c r="B119" s="167" t="s">
        <v>15</v>
      </c>
      <c r="C119" s="168" t="s">
        <v>674</v>
      </c>
      <c r="D119" s="267">
        <v>1.9889999999999999E+30</v>
      </c>
      <c r="E119" s="220" t="s">
        <v>680</v>
      </c>
      <c r="F119" s="167"/>
      <c r="G119" s="232" t="s">
        <v>2911</v>
      </c>
      <c r="H119" s="412"/>
    </row>
    <row r="120" spans="1:13" ht="15.6">
      <c r="A120" s="414"/>
      <c r="B120" s="1854" t="s">
        <v>2117</v>
      </c>
      <c r="C120" s="176"/>
      <c r="D120" s="347"/>
      <c r="E120" s="416"/>
      <c r="F120" s="167"/>
      <c r="G120" s="185"/>
      <c r="H120" s="412"/>
      <c r="I120" s="626"/>
      <c r="J120" s="1194"/>
    </row>
    <row r="121" spans="1:13" ht="16.8">
      <c r="A121" s="414"/>
      <c r="B121" s="663" t="s">
        <v>62</v>
      </c>
      <c r="C121" s="180" t="s">
        <v>751</v>
      </c>
      <c r="D121" s="440"/>
      <c r="E121" s="210"/>
      <c r="F121" s="219"/>
      <c r="G121" s="436"/>
      <c r="H121" s="412"/>
      <c r="J121" s="1183"/>
    </row>
    <row r="122" spans="1:13" ht="15.75" customHeight="1">
      <c r="A122" s="414"/>
      <c r="B122" s="107"/>
      <c r="C122" s="167"/>
      <c r="D122" s="209" t="s">
        <v>4</v>
      </c>
      <c r="E122" s="173"/>
      <c r="F122" s="167"/>
      <c r="G122" s="1225"/>
      <c r="H122" s="412"/>
    </row>
    <row r="123" spans="1:13" ht="15.75" customHeight="1">
      <c r="A123" s="414"/>
      <c r="B123" s="167" t="s">
        <v>16</v>
      </c>
      <c r="C123" s="168" t="s">
        <v>2297</v>
      </c>
      <c r="D123" s="1359">
        <f>2*D30*D119/POWER(D9,2)</f>
        <v>2954.1176968935147</v>
      </c>
      <c r="E123" s="220" t="s">
        <v>681</v>
      </c>
      <c r="F123" s="167"/>
      <c r="G123" s="1226"/>
      <c r="H123" s="412"/>
      <c r="J123" s="1194"/>
    </row>
    <row r="124" spans="1:13">
      <c r="A124" s="414"/>
      <c r="C124" s="168"/>
      <c r="D124" s="203"/>
      <c r="E124" s="220"/>
      <c r="F124" s="167"/>
      <c r="G124" s="441" t="s">
        <v>2919</v>
      </c>
      <c r="H124" s="412"/>
      <c r="J124" s="1183"/>
      <c r="M124" s="3"/>
    </row>
    <row r="125" spans="1:13" s="4" customFormat="1" ht="16.2">
      <c r="A125" s="414"/>
      <c r="B125" s="167" t="s">
        <v>33</v>
      </c>
      <c r="C125" s="168" t="s">
        <v>2298</v>
      </c>
      <c r="D125" s="1359">
        <f>(4/3)*PI()*POWER(D123,3)</f>
        <v>107987128334.07329</v>
      </c>
      <c r="E125" s="220" t="s">
        <v>2299</v>
      </c>
      <c r="F125" s="167"/>
      <c r="G125" s="80"/>
      <c r="H125" s="412"/>
      <c r="J125" s="1147"/>
      <c r="K125" s="699"/>
      <c r="L125" s="626"/>
    </row>
    <row r="126" spans="1:13">
      <c r="A126" s="414"/>
      <c r="B126" s="669" t="s">
        <v>1843</v>
      </c>
      <c r="C126" s="168"/>
      <c r="D126" s="203"/>
      <c r="E126" s="220"/>
      <c r="F126" s="167"/>
      <c r="G126" s="97"/>
      <c r="H126" s="412"/>
      <c r="J126" s="1194"/>
    </row>
    <row r="127" spans="1:13">
      <c r="A127" s="414"/>
      <c r="B127" s="167" t="s">
        <v>34</v>
      </c>
      <c r="C127" s="168" t="s">
        <v>48</v>
      </c>
      <c r="D127" s="1359">
        <f>D119/D125</f>
        <v>1.8418861865154429E+19</v>
      </c>
      <c r="E127" s="220" t="s">
        <v>2300</v>
      </c>
      <c r="F127" s="167"/>
      <c r="G127" s="80"/>
      <c r="H127" s="412"/>
      <c r="J127" s="1183"/>
    </row>
    <row r="128" spans="1:13">
      <c r="A128" s="414"/>
      <c r="B128" s="669" t="s">
        <v>211</v>
      </c>
      <c r="C128" s="167"/>
      <c r="D128" s="204"/>
      <c r="E128" s="173"/>
      <c r="F128" s="167"/>
      <c r="G128" s="1227"/>
      <c r="H128" s="412"/>
    </row>
    <row r="129" spans="1:11" ht="13.5" customHeight="1">
      <c r="A129" s="414"/>
      <c r="B129" s="2407" t="s">
        <v>2885</v>
      </c>
      <c r="C129" s="166"/>
      <c r="D129" s="172"/>
      <c r="E129" s="238"/>
      <c r="F129" s="166"/>
      <c r="G129" s="175"/>
      <c r="H129" s="412"/>
    </row>
    <row r="130" spans="1:11" ht="15.6">
      <c r="A130" s="414"/>
      <c r="B130" s="670" t="s">
        <v>262</v>
      </c>
      <c r="C130" s="173" t="s">
        <v>1514</v>
      </c>
      <c r="D130" s="172"/>
      <c r="E130" s="173"/>
      <c r="F130" s="167"/>
      <c r="G130" s="205"/>
      <c r="H130" s="412"/>
    </row>
    <row r="131" spans="1:11">
      <c r="A131" s="414"/>
      <c r="B131" s="175"/>
      <c r="C131" s="1551" t="s">
        <v>1818</v>
      </c>
      <c r="D131" s="172"/>
      <c r="E131" s="238"/>
      <c r="F131" s="167"/>
      <c r="G131" s="175"/>
      <c r="H131" s="412"/>
      <c r="K131" s="700"/>
    </row>
    <row r="132" spans="1:11">
      <c r="A132" s="414"/>
      <c r="B132" s="671"/>
      <c r="C132" s="166"/>
      <c r="D132" s="209" t="s">
        <v>3</v>
      </c>
      <c r="E132" s="238"/>
      <c r="F132" s="166"/>
      <c r="G132" s="1941" t="s">
        <v>2204</v>
      </c>
      <c r="H132" s="412"/>
      <c r="I132" s="849"/>
    </row>
    <row r="133" spans="1:11" ht="16.2">
      <c r="A133" s="414"/>
      <c r="B133" s="167" t="s">
        <v>1817</v>
      </c>
      <c r="C133" s="168" t="s">
        <v>2301</v>
      </c>
      <c r="D133" s="258">
        <v>4300000</v>
      </c>
      <c r="E133" s="173"/>
      <c r="F133" s="1555"/>
      <c r="G133" s="1968" t="s">
        <v>741</v>
      </c>
      <c r="H133" s="412"/>
    </row>
    <row r="134" spans="1:11">
      <c r="A134" s="414"/>
      <c r="B134" s="663" t="s">
        <v>57</v>
      </c>
      <c r="C134" s="180" t="s">
        <v>1834</v>
      </c>
      <c r="D134" s="440"/>
      <c r="E134" s="210"/>
      <c r="F134" s="219"/>
      <c r="G134" s="180"/>
      <c r="H134" s="412"/>
      <c r="K134"/>
    </row>
    <row r="135" spans="1:11">
      <c r="A135" s="414"/>
      <c r="B135" s="167"/>
      <c r="C135" s="173"/>
      <c r="D135" s="209" t="s">
        <v>4</v>
      </c>
      <c r="E135" s="173"/>
      <c r="F135" s="166"/>
      <c r="G135" s="442"/>
      <c r="H135" s="412"/>
      <c r="J135" s="1194"/>
    </row>
    <row r="136" spans="1:11" ht="16.2">
      <c r="A136" s="414"/>
      <c r="B136" s="167" t="s">
        <v>23</v>
      </c>
      <c r="C136" s="168" t="s">
        <v>192</v>
      </c>
      <c r="D136" s="1354">
        <f xml:space="preserve"> 3*D133</f>
        <v>12900000</v>
      </c>
      <c r="E136" s="220" t="s">
        <v>1018</v>
      </c>
      <c r="F136" s="167"/>
      <c r="G136" s="1228"/>
      <c r="H136" s="412"/>
      <c r="J136" s="1294"/>
    </row>
    <row r="137" spans="1:11">
      <c r="A137" s="414"/>
      <c r="B137" s="107"/>
      <c r="C137" s="176"/>
      <c r="D137" s="347"/>
      <c r="E137" s="416"/>
      <c r="F137" s="176"/>
      <c r="G137" s="107"/>
      <c r="H137" s="417"/>
    </row>
    <row r="138" spans="1:11">
      <c r="A138" s="414"/>
      <c r="B138" s="1173" t="s">
        <v>2116</v>
      </c>
      <c r="C138" s="206"/>
      <c r="D138" s="225"/>
      <c r="E138" s="443"/>
      <c r="F138" s="166"/>
      <c r="G138" s="175"/>
      <c r="H138" s="412"/>
      <c r="K138" s="1397"/>
    </row>
    <row r="139" spans="1:11" ht="20.25" customHeight="1">
      <c r="A139" s="414"/>
      <c r="B139" s="658" t="s">
        <v>2168</v>
      </c>
      <c r="C139" s="206"/>
      <c r="D139" s="172"/>
      <c r="E139" s="443"/>
      <c r="F139" s="166"/>
      <c r="G139" s="175"/>
      <c r="H139" s="412"/>
    </row>
    <row r="140" spans="1:11" ht="14.25" customHeight="1">
      <c r="A140" s="414"/>
      <c r="B140" s="2067" t="s">
        <v>73</v>
      </c>
      <c r="C140" s="198"/>
      <c r="D140" s="209" t="s">
        <v>3</v>
      </c>
      <c r="E140" s="220"/>
      <c r="F140" s="167"/>
      <c r="G140" s="175"/>
      <c r="H140" s="412"/>
    </row>
    <row r="141" spans="1:11" ht="15.6">
      <c r="A141" s="414"/>
      <c r="B141" s="167" t="s">
        <v>70</v>
      </c>
      <c r="C141" s="168" t="s">
        <v>674</v>
      </c>
      <c r="D141" s="267">
        <v>1.9889999999999999E+30</v>
      </c>
      <c r="E141" s="220" t="s">
        <v>680</v>
      </c>
      <c r="F141" s="167"/>
      <c r="G141" s="185"/>
      <c r="H141" s="412"/>
      <c r="K141"/>
    </row>
    <row r="142" spans="1:11" ht="15.6">
      <c r="A142" s="414"/>
      <c r="B142" s="167" t="s">
        <v>737</v>
      </c>
      <c r="C142" s="168" t="s">
        <v>2294</v>
      </c>
      <c r="D142" s="255">
        <v>696000</v>
      </c>
      <c r="E142" s="220" t="s">
        <v>1018</v>
      </c>
      <c r="F142" s="167"/>
      <c r="G142" s="185"/>
      <c r="H142" s="412"/>
      <c r="K142"/>
    </row>
    <row r="143" spans="1:11" ht="15.6">
      <c r="A143" s="414"/>
      <c r="B143" s="663" t="s">
        <v>62</v>
      </c>
      <c r="C143" s="189" t="s">
        <v>616</v>
      </c>
      <c r="D143" s="207"/>
      <c r="E143" s="173"/>
      <c r="F143" s="167"/>
      <c r="G143" s="185"/>
      <c r="H143" s="412"/>
      <c r="K143"/>
    </row>
    <row r="144" spans="1:11" ht="15.6">
      <c r="A144" s="414"/>
      <c r="B144" s="1852" t="s">
        <v>2115</v>
      </c>
      <c r="C144" s="189" t="s">
        <v>617</v>
      </c>
      <c r="D144" s="201"/>
      <c r="E144" s="173"/>
      <c r="F144" s="167"/>
      <c r="G144" s="1853" t="s">
        <v>748</v>
      </c>
      <c r="H144" s="412"/>
      <c r="K144"/>
    </row>
    <row r="145" spans="1:12" ht="15.6">
      <c r="A145" s="414"/>
      <c r="B145" s="666"/>
      <c r="C145" s="200"/>
      <c r="D145" s="209" t="s">
        <v>4</v>
      </c>
      <c r="E145" s="173"/>
      <c r="F145" s="167"/>
      <c r="G145" s="175"/>
      <c r="H145" s="412"/>
      <c r="K145"/>
    </row>
    <row r="146" spans="1:12">
      <c r="A146" s="414"/>
      <c r="B146" s="167" t="s">
        <v>69</v>
      </c>
      <c r="C146" s="168" t="s">
        <v>68</v>
      </c>
      <c r="D146" s="1377">
        <f>(4*D30*D141)/(D142*1000*(POWER(D9,2)))</f>
        <v>8.4888439565905587E-6</v>
      </c>
      <c r="E146" s="220" t="s">
        <v>1060</v>
      </c>
      <c r="F146" s="166"/>
      <c r="G146" s="175"/>
      <c r="H146" s="412"/>
    </row>
    <row r="147" spans="1:12" ht="15.6">
      <c r="A147" s="414"/>
      <c r="B147" s="671" t="s">
        <v>175</v>
      </c>
      <c r="C147" s="168" t="s">
        <v>68</v>
      </c>
      <c r="D147" s="1377">
        <f>D146*180/3.1416</f>
        <v>4.8637379430427189E-4</v>
      </c>
      <c r="E147" s="220" t="s">
        <v>1307</v>
      </c>
      <c r="F147" s="167"/>
      <c r="G147" s="1225"/>
      <c r="H147" s="412"/>
      <c r="K147" s="22"/>
    </row>
    <row r="148" spans="1:12">
      <c r="A148" s="414"/>
      <c r="B148" s="671" t="s">
        <v>71</v>
      </c>
      <c r="C148" s="168" t="s">
        <v>68</v>
      </c>
      <c r="D148" s="1377">
        <f>D147*60</f>
        <v>2.9182427658256314E-2</v>
      </c>
      <c r="E148" s="220" t="s">
        <v>1308</v>
      </c>
      <c r="F148" s="167"/>
      <c r="G148" s="1229"/>
      <c r="H148" s="412"/>
    </row>
    <row r="149" spans="1:12" ht="15.6">
      <c r="A149" s="414"/>
      <c r="B149" s="671" t="s">
        <v>72</v>
      </c>
      <c r="C149" s="168" t="s">
        <v>68</v>
      </c>
      <c r="D149" s="1377">
        <f>D148*60</f>
        <v>1.7509456594953789</v>
      </c>
      <c r="E149" s="220" t="s">
        <v>950</v>
      </c>
      <c r="F149" s="167"/>
      <c r="G149" s="185"/>
      <c r="H149" s="412"/>
    </row>
    <row r="150" spans="1:12" ht="7.8" customHeight="1">
      <c r="A150" s="389"/>
      <c r="B150" s="740"/>
      <c r="C150" s="741"/>
      <c r="D150" s="744"/>
      <c r="E150" s="742"/>
      <c r="F150" s="426"/>
      <c r="G150" s="444"/>
      <c r="H150" s="1250"/>
    </row>
    <row r="151" spans="1:12" ht="16.2" customHeight="1">
      <c r="A151" s="485"/>
      <c r="B151" s="2236" t="s">
        <v>2570</v>
      </c>
      <c r="C151" s="420"/>
      <c r="D151" s="404"/>
      <c r="E151" s="421"/>
      <c r="F151" s="420"/>
      <c r="G151" s="422"/>
      <c r="H151" s="1871" t="s">
        <v>348</v>
      </c>
    </row>
    <row r="152" spans="1:12">
      <c r="A152" s="414"/>
      <c r="B152" s="173" t="s">
        <v>1623</v>
      </c>
      <c r="C152" s="167"/>
      <c r="D152" s="172"/>
      <c r="E152" s="173"/>
      <c r="F152" s="167"/>
      <c r="G152" s="205"/>
      <c r="H152" s="412"/>
      <c r="K152"/>
      <c r="L152"/>
    </row>
    <row r="153" spans="1:12">
      <c r="A153" s="414"/>
      <c r="B153" s="1551" t="s">
        <v>1805</v>
      </c>
      <c r="C153" s="167"/>
      <c r="D153" s="172"/>
      <c r="E153" s="173"/>
      <c r="F153" s="167"/>
      <c r="G153" s="205"/>
      <c r="H153" s="412"/>
      <c r="K153"/>
    </row>
    <row r="154" spans="1:12">
      <c r="A154" s="414"/>
      <c r="B154" s="173"/>
      <c r="C154" s="166"/>
      <c r="D154" s="209" t="s">
        <v>3</v>
      </c>
      <c r="E154" s="238"/>
      <c r="F154" s="166"/>
      <c r="G154" s="2397" t="s">
        <v>2886</v>
      </c>
      <c r="H154" s="412"/>
      <c r="K154"/>
    </row>
    <row r="155" spans="1:12">
      <c r="A155" s="414"/>
      <c r="B155" s="167" t="s">
        <v>25</v>
      </c>
      <c r="C155" s="168" t="s">
        <v>674</v>
      </c>
      <c r="D155" s="267">
        <v>5.9720000000000003E+24</v>
      </c>
      <c r="E155" s="220" t="s">
        <v>680</v>
      </c>
      <c r="F155" s="167"/>
      <c r="G155" s="2408" t="s">
        <v>2881</v>
      </c>
      <c r="H155" s="412"/>
    </row>
    <row r="156" spans="1:12">
      <c r="A156" s="414"/>
      <c r="B156" s="167" t="s">
        <v>27</v>
      </c>
      <c r="C156" s="168" t="s">
        <v>2294</v>
      </c>
      <c r="D156" s="259">
        <v>6373</v>
      </c>
      <c r="E156" s="220" t="s">
        <v>1018</v>
      </c>
      <c r="F156" s="167"/>
      <c r="G156" s="205"/>
      <c r="H156" s="412"/>
    </row>
    <row r="157" spans="1:12" ht="15.6">
      <c r="A157" s="414"/>
      <c r="B157" s="663" t="s">
        <v>62</v>
      </c>
      <c r="C157" s="189" t="s">
        <v>618</v>
      </c>
      <c r="D157" s="434"/>
      <c r="E157" s="210"/>
      <c r="F157" s="219"/>
      <c r="G157" s="440"/>
      <c r="H157" s="412"/>
    </row>
    <row r="158" spans="1:12" ht="15.6">
      <c r="A158" s="414"/>
      <c r="B158" s="27"/>
      <c r="C158" s="189" t="s">
        <v>2887</v>
      </c>
      <c r="D158" s="434"/>
      <c r="E158" s="210"/>
      <c r="F158" s="219"/>
      <c r="G158" s="440"/>
      <c r="H158" s="412"/>
    </row>
    <row r="159" spans="1:12">
      <c r="A159" s="414"/>
      <c r="B159" s="173"/>
      <c r="C159" s="167"/>
      <c r="D159" s="209" t="s">
        <v>4</v>
      </c>
      <c r="E159" s="173"/>
      <c r="F159" s="167"/>
      <c r="G159" s="27"/>
      <c r="H159" s="412"/>
    </row>
    <row r="160" spans="1:12" ht="16.2">
      <c r="A160" s="414"/>
      <c r="B160" s="446" t="s">
        <v>26</v>
      </c>
      <c r="C160" s="208" t="s">
        <v>193</v>
      </c>
      <c r="D160" s="1375">
        <f>SQRT((2*D30*D155)/(D156*1000))/1000</f>
        <v>11.184205783107785</v>
      </c>
      <c r="E160" s="445" t="s">
        <v>684</v>
      </c>
      <c r="F160" s="446"/>
      <c r="G160" s="1230"/>
      <c r="H160" s="412"/>
    </row>
    <row r="161" spans="1:11">
      <c r="A161" s="414"/>
      <c r="B161" s="1851" t="s">
        <v>2114</v>
      </c>
      <c r="C161" s="208" t="s">
        <v>562</v>
      </c>
      <c r="D161" s="1376">
        <f>D160*3600</f>
        <v>40263.140819188025</v>
      </c>
      <c r="E161" s="445" t="s">
        <v>2316</v>
      </c>
      <c r="F161" s="446"/>
      <c r="G161" s="1231"/>
      <c r="H161" s="412"/>
    </row>
    <row r="162" spans="1:11">
      <c r="A162" s="414"/>
      <c r="B162" s="1425" t="s">
        <v>2571</v>
      </c>
      <c r="C162" s="168"/>
      <c r="D162" s="181"/>
      <c r="E162" s="220"/>
      <c r="F162" s="167"/>
      <c r="G162" s="1254"/>
      <c r="H162" s="412"/>
    </row>
    <row r="163" spans="1:11">
      <c r="A163" s="414"/>
      <c r="B163" s="1550" t="s">
        <v>2572</v>
      </c>
      <c r="C163" s="168"/>
      <c r="D163" s="209" t="s">
        <v>3</v>
      </c>
      <c r="E163" s="220"/>
      <c r="F163" s="167"/>
      <c r="G163" s="205"/>
      <c r="H163" s="412"/>
      <c r="K163" s="17"/>
    </row>
    <row r="164" spans="1:11">
      <c r="A164" s="414"/>
      <c r="B164" s="167" t="s">
        <v>29</v>
      </c>
      <c r="C164" s="168" t="s">
        <v>2302</v>
      </c>
      <c r="D164" s="267">
        <v>5.9720000000000003E+24</v>
      </c>
      <c r="E164" s="220" t="s">
        <v>680</v>
      </c>
      <c r="F164" s="176"/>
      <c r="G164" s="2040" t="s">
        <v>2192</v>
      </c>
      <c r="H164" s="412"/>
    </row>
    <row r="165" spans="1:11">
      <c r="A165" s="414"/>
      <c r="B165" s="167" t="s">
        <v>30</v>
      </c>
      <c r="C165" s="168" t="s">
        <v>2303</v>
      </c>
      <c r="D165" s="267">
        <v>7.3479999999999998E+22</v>
      </c>
      <c r="E165" s="220" t="s">
        <v>680</v>
      </c>
      <c r="F165" s="176"/>
      <c r="G165" s="2041" t="s">
        <v>744</v>
      </c>
      <c r="H165" s="412"/>
      <c r="K165"/>
    </row>
    <row r="166" spans="1:11">
      <c r="A166" s="414"/>
      <c r="B166" s="167" t="s">
        <v>41</v>
      </c>
      <c r="C166" s="168" t="s">
        <v>1961</v>
      </c>
      <c r="D166" s="267">
        <v>384400000</v>
      </c>
      <c r="E166" s="220" t="s">
        <v>681</v>
      </c>
      <c r="F166" s="167"/>
      <c r="G166" s="205"/>
      <c r="H166" s="412"/>
    </row>
    <row r="167" spans="1:11" ht="15.6">
      <c r="A167" s="414"/>
      <c r="B167" s="663" t="s">
        <v>62</v>
      </c>
      <c r="C167" s="1176" t="s">
        <v>619</v>
      </c>
      <c r="D167" s="440"/>
      <c r="E167" s="210"/>
      <c r="F167" s="219"/>
      <c r="G167" s="447"/>
      <c r="H167" s="412"/>
      <c r="K167"/>
    </row>
    <row r="168" spans="1:11" ht="15.6">
      <c r="A168" s="414"/>
      <c r="B168" s="175"/>
      <c r="C168" s="189" t="s">
        <v>1584</v>
      </c>
      <c r="D168" s="440"/>
      <c r="E168" s="210"/>
      <c r="F168" s="219"/>
      <c r="G168" s="447"/>
      <c r="H168" s="412"/>
      <c r="K168"/>
    </row>
    <row r="169" spans="1:11">
      <c r="A169" s="414"/>
      <c r="B169" s="2239" t="s">
        <v>2912</v>
      </c>
      <c r="C169" s="167"/>
      <c r="D169" s="209" t="s">
        <v>4</v>
      </c>
      <c r="E169" s="173"/>
      <c r="F169" s="167"/>
      <c r="G169" s="1230"/>
      <c r="H169" s="412"/>
    </row>
    <row r="170" spans="1:11" ht="16.2">
      <c r="A170" s="414"/>
      <c r="B170" s="167" t="s">
        <v>32</v>
      </c>
      <c r="C170" s="168" t="s">
        <v>2306</v>
      </c>
      <c r="D170" s="1359">
        <f>SQRT(4*POWER(3.141593,2)*POWER(D166,3)/(D30*(D164+D165)))</f>
        <v>2357422.2555863596</v>
      </c>
      <c r="E170" s="220" t="s">
        <v>1112</v>
      </c>
      <c r="F170" s="167"/>
      <c r="G170" s="1231"/>
      <c r="H170" s="412"/>
    </row>
    <row r="171" spans="1:11">
      <c r="A171" s="414"/>
      <c r="B171" s="2040" t="s">
        <v>2193</v>
      </c>
      <c r="C171" s="168" t="s">
        <v>364</v>
      </c>
      <c r="D171" s="1374">
        <f>D170/31557600</f>
        <v>7.470220344976676E-2</v>
      </c>
      <c r="E171" s="220" t="s">
        <v>2304</v>
      </c>
      <c r="F171" s="167"/>
      <c r="G171" s="1227"/>
      <c r="H171" s="412"/>
    </row>
    <row r="172" spans="1:11">
      <c r="A172" s="414"/>
      <c r="B172" s="2041" t="s">
        <v>740</v>
      </c>
      <c r="C172" s="168" t="s">
        <v>364</v>
      </c>
      <c r="D172" s="1373">
        <f>365.24219*D171</f>
        <v>27.284396385818365</v>
      </c>
      <c r="E172" s="220" t="s">
        <v>2305</v>
      </c>
      <c r="F172" s="167"/>
      <c r="G172" s="27"/>
      <c r="H172" s="412"/>
    </row>
    <row r="173" spans="1:11">
      <c r="A173" s="414"/>
      <c r="B173" s="167" t="s">
        <v>2113</v>
      </c>
      <c r="C173" s="168" t="s">
        <v>6</v>
      </c>
      <c r="D173" s="1355">
        <f>2*PI()*D166/D170</f>
        <v>1024.5328033009039</v>
      </c>
      <c r="E173" s="220" t="s">
        <v>1755</v>
      </c>
      <c r="F173" s="167"/>
      <c r="G173" s="1230"/>
      <c r="H173" s="412"/>
    </row>
    <row r="174" spans="1:11">
      <c r="A174" s="414"/>
      <c r="B174" s="178"/>
      <c r="C174" s="168" t="s">
        <v>364</v>
      </c>
      <c r="D174" s="1373">
        <f>D173/1000</f>
        <v>1.0245328033009038</v>
      </c>
      <c r="E174" s="220" t="s">
        <v>684</v>
      </c>
      <c r="F174" s="166"/>
      <c r="G174" s="97"/>
      <c r="H174" s="412"/>
    </row>
    <row r="175" spans="1:11" ht="16.8" customHeight="1">
      <c r="A175" s="414"/>
      <c r="B175" s="178"/>
      <c r="C175" s="167"/>
      <c r="D175" s="181"/>
      <c r="E175" s="173"/>
      <c r="F175" s="167"/>
      <c r="G175" s="27"/>
      <c r="H175" s="412"/>
      <c r="J175" s="1194"/>
    </row>
    <row r="176" spans="1:11" ht="16.8" customHeight="1">
      <c r="A176" s="414"/>
      <c r="B176" s="178"/>
      <c r="C176" s="1861" t="s">
        <v>2353</v>
      </c>
      <c r="D176" s="607"/>
      <c r="E176" s="173"/>
      <c r="F176" s="167"/>
      <c r="G176" s="1849"/>
      <c r="H176" s="412"/>
      <c r="J176" s="1183"/>
    </row>
    <row r="177" spans="1:12">
      <c r="A177" s="414"/>
      <c r="B177" s="178"/>
      <c r="C177" s="167"/>
      <c r="D177" s="181"/>
      <c r="E177" s="173"/>
      <c r="F177" s="167"/>
      <c r="G177" s="175"/>
      <c r="H177" s="412"/>
    </row>
    <row r="178" spans="1:12">
      <c r="A178" s="414"/>
      <c r="B178" s="178"/>
      <c r="C178" s="167"/>
      <c r="D178" s="181"/>
      <c r="E178" s="173"/>
      <c r="F178" s="167"/>
      <c r="G178" s="175"/>
      <c r="H178" s="412"/>
      <c r="J178" s="1194"/>
    </row>
    <row r="179" spans="1:12">
      <c r="A179" s="414"/>
      <c r="B179" s="178"/>
      <c r="C179" s="167"/>
      <c r="D179" s="181"/>
      <c r="E179" s="173"/>
      <c r="F179" s="167"/>
      <c r="G179" s="175"/>
      <c r="H179" s="412"/>
      <c r="J179" s="1183"/>
    </row>
    <row r="180" spans="1:12">
      <c r="A180" s="414"/>
      <c r="B180" s="178"/>
      <c r="C180" s="167"/>
      <c r="D180" s="181"/>
      <c r="E180" s="173"/>
      <c r="F180" s="167"/>
      <c r="G180" s="175"/>
      <c r="H180" s="412"/>
    </row>
    <row r="181" spans="1:12">
      <c r="A181" s="414"/>
      <c r="B181" s="178"/>
      <c r="C181" s="167"/>
      <c r="D181" s="181"/>
      <c r="E181" s="173"/>
      <c r="F181" s="167"/>
      <c r="G181" s="175"/>
      <c r="H181" s="412"/>
    </row>
    <row r="182" spans="1:12">
      <c r="A182" s="414"/>
      <c r="B182" s="178"/>
      <c r="C182" s="167"/>
      <c r="D182" s="181"/>
      <c r="E182" s="173"/>
      <c r="F182" s="167"/>
      <c r="G182" s="175"/>
      <c r="H182" s="412"/>
    </row>
    <row r="183" spans="1:12">
      <c r="A183" s="414"/>
      <c r="B183" s="175"/>
      <c r="C183" s="166"/>
      <c r="D183" s="172"/>
      <c r="E183" s="238"/>
      <c r="F183" s="166"/>
      <c r="G183" s="175"/>
      <c r="H183" s="412"/>
      <c r="J183" s="1524"/>
    </row>
    <row r="184" spans="1:12">
      <c r="A184" s="414"/>
      <c r="B184" s="175"/>
      <c r="C184" s="166"/>
      <c r="D184" s="172"/>
      <c r="E184" s="238"/>
      <c r="F184" s="166"/>
      <c r="G184" s="107"/>
      <c r="H184" s="412"/>
      <c r="J184" s="1522"/>
    </row>
    <row r="185" spans="1:12">
      <c r="A185" s="414"/>
      <c r="B185" s="175"/>
      <c r="D185" s="440"/>
      <c r="E185" s="1409"/>
      <c r="F185" s="166"/>
      <c r="G185" s="107"/>
      <c r="H185" s="412"/>
      <c r="J185" s="1523"/>
      <c r="L185" s="16"/>
    </row>
    <row r="186" spans="1:12">
      <c r="A186" s="414"/>
      <c r="B186" s="175"/>
      <c r="C186" s="677"/>
      <c r="D186" s="1347" t="s">
        <v>2351</v>
      </c>
      <c r="E186" s="606"/>
      <c r="F186" s="210" t="s">
        <v>2352</v>
      </c>
      <c r="G186" s="175"/>
      <c r="H186" s="412"/>
      <c r="J186" s="1524"/>
    </row>
    <row r="187" spans="1:12">
      <c r="A187" s="414"/>
      <c r="B187" s="175"/>
      <c r="C187" s="677" t="s">
        <v>2370</v>
      </c>
      <c r="D187" s="434"/>
      <c r="E187" s="210" t="s">
        <v>2349</v>
      </c>
      <c r="F187" s="166"/>
      <c r="G187" s="175"/>
      <c r="H187" s="412"/>
      <c r="J187" s="1522"/>
    </row>
    <row r="188" spans="1:12" ht="14.4" customHeight="1">
      <c r="A188" s="389"/>
      <c r="B188" s="427"/>
      <c r="C188" s="449"/>
      <c r="D188" s="450"/>
      <c r="E188" s="437" t="s">
        <v>2350</v>
      </c>
      <c r="F188" s="609"/>
      <c r="G188" s="427"/>
      <c r="H188" s="1250"/>
      <c r="I188" s="852"/>
      <c r="J188" s="1525"/>
      <c r="K188" s="706"/>
    </row>
    <row r="189" spans="1:12">
      <c r="A189" s="485"/>
      <c r="B189" s="672"/>
      <c r="C189" s="420"/>
      <c r="D189" s="452"/>
      <c r="E189" s="405"/>
      <c r="F189" s="420"/>
      <c r="G189" s="422"/>
      <c r="H189" s="1871" t="s">
        <v>347</v>
      </c>
    </row>
    <row r="190" spans="1:12" ht="15.6">
      <c r="A190" s="743"/>
      <c r="B190" s="343" t="s">
        <v>1618</v>
      </c>
      <c r="C190" s="167"/>
      <c r="D190" s="209"/>
      <c r="E190" s="173"/>
      <c r="F190" s="167"/>
      <c r="G190" s="205"/>
      <c r="H190" s="412"/>
      <c r="K190"/>
    </row>
    <row r="191" spans="1:12" ht="15.6">
      <c r="A191" s="432"/>
      <c r="B191" s="734" t="s">
        <v>2870</v>
      </c>
      <c r="C191" s="211"/>
      <c r="D191" s="211"/>
      <c r="E191" s="211"/>
      <c r="F191" s="211"/>
      <c r="G191" s="453"/>
      <c r="H191" s="412"/>
    </row>
    <row r="192" spans="1:12">
      <c r="A192" s="414"/>
      <c r="B192" s="229" t="s">
        <v>2408</v>
      </c>
      <c r="C192" s="211"/>
      <c r="D192" s="211"/>
      <c r="E192" s="211"/>
      <c r="F192" s="211"/>
      <c r="G192" s="211" t="s">
        <v>568</v>
      </c>
      <c r="H192" s="412"/>
    </row>
    <row r="193" spans="1:12" ht="15.75" customHeight="1">
      <c r="A193" s="414"/>
      <c r="B193" s="1388" t="s">
        <v>1930</v>
      </c>
      <c r="C193" s="167"/>
      <c r="D193" s="209" t="s">
        <v>3</v>
      </c>
      <c r="E193" s="173"/>
      <c r="F193" s="167"/>
      <c r="G193" s="175" t="s">
        <v>569</v>
      </c>
      <c r="H193" s="454"/>
    </row>
    <row r="194" spans="1:12" s="9" customFormat="1" ht="15.75" customHeight="1">
      <c r="A194" s="687"/>
      <c r="B194" s="167" t="s">
        <v>25</v>
      </c>
      <c r="C194" s="168" t="s">
        <v>674</v>
      </c>
      <c r="D194" s="265">
        <v>5.9720000000000003E+24</v>
      </c>
      <c r="E194" s="220" t="s">
        <v>680</v>
      </c>
      <c r="F194" s="167"/>
      <c r="G194" s="173"/>
      <c r="H194" s="412"/>
      <c r="I194" s="91"/>
      <c r="J194" s="1147"/>
      <c r="K194" s="700"/>
      <c r="L194" s="698"/>
    </row>
    <row r="195" spans="1:12" ht="15.75" customHeight="1">
      <c r="A195" s="414"/>
      <c r="B195" s="167" t="s">
        <v>27</v>
      </c>
      <c r="C195" s="168" t="s">
        <v>2294</v>
      </c>
      <c r="D195" s="266">
        <v>6373</v>
      </c>
      <c r="E195" s="220" t="s">
        <v>1018</v>
      </c>
      <c r="F195" s="1299"/>
      <c r="G195" s="691"/>
      <c r="H195" s="412"/>
    </row>
    <row r="196" spans="1:12">
      <c r="A196" s="414"/>
      <c r="B196" s="167" t="s">
        <v>2025</v>
      </c>
      <c r="C196" s="168" t="s">
        <v>47</v>
      </c>
      <c r="D196" s="266">
        <v>35864</v>
      </c>
      <c r="E196" s="220" t="s">
        <v>1018</v>
      </c>
      <c r="F196" s="1299"/>
      <c r="G196" s="691"/>
      <c r="H196" s="412"/>
      <c r="K196"/>
    </row>
    <row r="197" spans="1:12" ht="15.6">
      <c r="A197" s="414"/>
      <c r="B197" s="663" t="s">
        <v>57</v>
      </c>
      <c r="C197" s="189" t="s">
        <v>2026</v>
      </c>
      <c r="D197" s="212"/>
      <c r="E197" s="210"/>
      <c r="F197" s="219"/>
      <c r="G197" s="447"/>
      <c r="H197" s="412"/>
    </row>
    <row r="198" spans="1:12" ht="15.6">
      <c r="A198" s="414"/>
      <c r="B198" s="663"/>
      <c r="C198" s="189" t="s">
        <v>2376</v>
      </c>
      <c r="D198" s="172"/>
      <c r="E198" s="173"/>
      <c r="F198" s="167"/>
      <c r="G198" s="205"/>
      <c r="H198" s="412"/>
    </row>
    <row r="199" spans="1:12">
      <c r="A199" s="414"/>
      <c r="B199" s="175"/>
      <c r="C199" s="1176"/>
      <c r="D199" s="172"/>
      <c r="E199" s="238"/>
      <c r="F199" s="167"/>
      <c r="G199" s="175"/>
      <c r="H199" s="412"/>
      <c r="K199" s="17"/>
    </row>
    <row r="200" spans="1:12">
      <c r="A200" s="414"/>
      <c r="B200" s="167" t="s">
        <v>2822</v>
      </c>
      <c r="C200" s="166"/>
      <c r="D200" s="209" t="s">
        <v>4</v>
      </c>
      <c r="E200" s="238"/>
      <c r="F200" s="167"/>
      <c r="G200" s="80"/>
      <c r="H200" s="412"/>
    </row>
    <row r="201" spans="1:12" ht="16.2">
      <c r="A201" s="414"/>
      <c r="B201" s="167" t="s">
        <v>2823</v>
      </c>
      <c r="C201" s="168" t="s">
        <v>194</v>
      </c>
      <c r="D201" s="1363">
        <f>SQRT((D30*D194)/(D195*1000+D196*1000))/1000</f>
        <v>3.0719601583407368</v>
      </c>
      <c r="E201" s="220" t="s">
        <v>684</v>
      </c>
      <c r="F201" s="167"/>
      <c r="G201" s="98"/>
      <c r="H201" s="412"/>
    </row>
    <row r="202" spans="1:12">
      <c r="A202" s="414"/>
      <c r="B202" s="27"/>
      <c r="C202" s="206"/>
      <c r="D202" s="172"/>
      <c r="E202" s="443"/>
      <c r="F202" s="167"/>
      <c r="G202" s="97"/>
      <c r="H202" s="412"/>
    </row>
    <row r="203" spans="1:12">
      <c r="A203" s="414"/>
      <c r="B203" s="178"/>
      <c r="C203" s="206"/>
      <c r="D203" s="172"/>
      <c r="E203" s="443"/>
      <c r="F203" s="167"/>
      <c r="G203" s="80"/>
      <c r="H203" s="412"/>
    </row>
    <row r="204" spans="1:12" ht="16.2">
      <c r="A204" s="414"/>
      <c r="B204" s="167" t="s">
        <v>32</v>
      </c>
      <c r="C204" s="168" t="s">
        <v>2290</v>
      </c>
      <c r="D204" s="1363">
        <f>(SQRT(4*POWER(PI(),2)*POWER((D195*1000+D196*1000),3)/(D30*D194))/3600)</f>
        <v>23.996884014375254</v>
      </c>
      <c r="E204" s="220" t="s">
        <v>692</v>
      </c>
      <c r="F204" s="167"/>
      <c r="G204" s="1231"/>
      <c r="H204" s="412"/>
      <c r="K204"/>
    </row>
    <row r="205" spans="1:12">
      <c r="A205" s="414"/>
      <c r="B205" s="175"/>
      <c r="C205" s="167"/>
      <c r="D205" s="172"/>
      <c r="E205" s="173"/>
      <c r="F205" s="167"/>
      <c r="G205" s="97"/>
      <c r="H205" s="412"/>
    </row>
    <row r="206" spans="1:12">
      <c r="A206" s="414"/>
      <c r="B206" s="1850" t="s">
        <v>2824</v>
      </c>
      <c r="C206" s="167"/>
      <c r="D206" s="181"/>
      <c r="E206" s="173"/>
      <c r="F206" s="167"/>
      <c r="G206" s="753" t="s">
        <v>772</v>
      </c>
      <c r="H206" s="412"/>
      <c r="K206" s="699"/>
    </row>
    <row r="207" spans="1:12" s="941" customFormat="1" ht="15" customHeight="1">
      <c r="A207" s="943"/>
      <c r="B207" s="180" t="s">
        <v>2920</v>
      </c>
      <c r="C207" s="167"/>
      <c r="D207" s="1945"/>
      <c r="E207" s="173"/>
      <c r="F207" s="167"/>
      <c r="G207" s="455"/>
      <c r="H207" s="944"/>
      <c r="I207" s="945"/>
      <c r="J207" s="1287"/>
      <c r="K207" s="1946"/>
      <c r="L207" s="22"/>
    </row>
    <row r="208" spans="1:12" ht="12.6" customHeight="1">
      <c r="A208" s="414"/>
      <c r="B208" s="1382"/>
      <c r="C208" s="166"/>
      <c r="D208" s="172"/>
      <c r="E208" s="238"/>
      <c r="F208" s="1299"/>
      <c r="G208" s="1943"/>
      <c r="H208" s="412"/>
      <c r="K208"/>
    </row>
    <row r="209" spans="1:11" ht="12.6" customHeight="1">
      <c r="A209" s="414"/>
      <c r="C209" s="166"/>
      <c r="D209" s="172"/>
      <c r="E209" s="238"/>
      <c r="F209" s="1299"/>
      <c r="G209" s="1944"/>
      <c r="H209" s="412"/>
      <c r="K209"/>
    </row>
    <row r="210" spans="1:11" ht="18.600000000000001" customHeight="1">
      <c r="A210" s="414"/>
      <c r="B210" s="1775" t="s">
        <v>2825</v>
      </c>
      <c r="C210" s="167"/>
      <c r="D210" s="181"/>
      <c r="E210" s="173"/>
      <c r="F210" s="167"/>
      <c r="G210" s="2001"/>
      <c r="H210" s="412"/>
    </row>
    <row r="211" spans="1:11">
      <c r="A211" s="414"/>
      <c r="B211" s="467" t="s">
        <v>123</v>
      </c>
      <c r="C211" s="166"/>
      <c r="D211" s="172"/>
      <c r="E211" s="238"/>
      <c r="F211" s="166"/>
      <c r="G211" s="175"/>
      <c r="H211" s="412"/>
      <c r="K211"/>
    </row>
    <row r="212" spans="1:11" ht="16.2" customHeight="1">
      <c r="A212" s="414"/>
      <c r="B212" s="1867" t="s">
        <v>1841</v>
      </c>
      <c r="C212" s="167"/>
      <c r="D212" s="209" t="s">
        <v>3</v>
      </c>
      <c r="E212" s="173"/>
      <c r="F212" s="167"/>
      <c r="G212" s="456"/>
      <c r="H212" s="412"/>
    </row>
    <row r="213" spans="1:11" ht="16.2">
      <c r="A213" s="414"/>
      <c r="B213" s="167" t="s">
        <v>12</v>
      </c>
      <c r="C213" s="168" t="s">
        <v>195</v>
      </c>
      <c r="D213" s="263">
        <v>9.1093999999999993E-31</v>
      </c>
      <c r="E213" s="220" t="s">
        <v>680</v>
      </c>
      <c r="F213" s="168"/>
      <c r="G213" s="457"/>
      <c r="H213" s="412"/>
    </row>
    <row r="214" spans="1:11" ht="15.6" customHeight="1">
      <c r="A214" s="414"/>
      <c r="B214" s="167" t="s">
        <v>13</v>
      </c>
      <c r="C214" s="168" t="s">
        <v>6</v>
      </c>
      <c r="D214" s="255">
        <v>2188</v>
      </c>
      <c r="E214" s="220" t="s">
        <v>684</v>
      </c>
      <c r="F214" s="264">
        <f>100*D214/(D9/1000)</f>
        <v>0.72983823956250682</v>
      </c>
      <c r="G214" s="204" t="s">
        <v>17</v>
      </c>
      <c r="H214" s="412"/>
    </row>
    <row r="215" spans="1:11" ht="16.2" customHeight="1">
      <c r="A215" s="414"/>
      <c r="B215" s="167" t="s">
        <v>259</v>
      </c>
      <c r="C215" s="168" t="s">
        <v>260</v>
      </c>
      <c r="D215" s="1372">
        <f>D214/(D9/1000)</f>
        <v>7.2983823956250683E-3</v>
      </c>
      <c r="E215" s="220" t="s">
        <v>261</v>
      </c>
      <c r="F215" s="166"/>
      <c r="G215" s="175"/>
      <c r="H215" s="412"/>
    </row>
    <row r="216" spans="1:11" ht="15.6" customHeight="1">
      <c r="A216" s="414"/>
      <c r="B216" s="107"/>
      <c r="C216" s="176"/>
      <c r="D216" s="347"/>
      <c r="E216" s="416"/>
      <c r="F216" s="176"/>
      <c r="G216" s="107"/>
      <c r="H216" s="412"/>
      <c r="J216" s="1287"/>
    </row>
    <row r="217" spans="1:11" ht="14.4" customHeight="1">
      <c r="A217" s="414"/>
      <c r="B217" s="663" t="s">
        <v>62</v>
      </c>
      <c r="C217" s="1176" t="s">
        <v>613</v>
      </c>
      <c r="D217" s="440"/>
      <c r="E217" s="210"/>
      <c r="F217" s="213"/>
      <c r="G217" s="195"/>
      <c r="H217" s="412"/>
    </row>
    <row r="218" spans="1:11" ht="14.4" customHeight="1">
      <c r="A218" s="414"/>
      <c r="B218" s="107"/>
      <c r="C218" s="184" t="s">
        <v>804</v>
      </c>
      <c r="D218" s="434"/>
      <c r="E218" s="210"/>
      <c r="F218" s="219"/>
      <c r="G218" s="447"/>
      <c r="H218" s="412"/>
      <c r="K218"/>
    </row>
    <row r="219" spans="1:11" ht="14.4" customHeight="1">
      <c r="A219" s="414"/>
      <c r="B219" s="475"/>
      <c r="C219" s="180" t="s">
        <v>620</v>
      </c>
      <c r="D219" s="347"/>
      <c r="E219" s="416"/>
      <c r="F219" s="176"/>
      <c r="G219" s="107"/>
      <c r="H219" s="412"/>
      <c r="K219"/>
    </row>
    <row r="220" spans="1:11" ht="14.4" customHeight="1">
      <c r="A220" s="414"/>
      <c r="B220" s="107"/>
      <c r="C220" s="1176" t="s">
        <v>614</v>
      </c>
      <c r="D220" s="434"/>
      <c r="E220" s="210"/>
      <c r="F220" s="219"/>
      <c r="G220" s="447"/>
      <c r="H220" s="412"/>
      <c r="K220"/>
    </row>
    <row r="221" spans="1:11" ht="15.6">
      <c r="A221" s="414"/>
      <c r="B221" s="107"/>
      <c r="C221" s="166"/>
      <c r="D221" s="209" t="s">
        <v>4</v>
      </c>
      <c r="E221" s="238"/>
      <c r="F221" s="166"/>
      <c r="G221" s="707"/>
      <c r="H221" s="412"/>
    </row>
    <row r="222" spans="1:11" ht="15.6">
      <c r="A222" s="414"/>
      <c r="B222" s="167" t="s">
        <v>615</v>
      </c>
      <c r="C222" s="167" t="s">
        <v>861</v>
      </c>
      <c r="D222" s="1371">
        <f>D213/(SQRT(1-(POWER(D214,2)/POWER(D9/1000,2))))</f>
        <v>9.1096426220992045E-31</v>
      </c>
      <c r="E222" s="220" t="s">
        <v>680</v>
      </c>
      <c r="F222" s="167"/>
      <c r="G222" s="1232"/>
      <c r="H222" s="412"/>
    </row>
    <row r="223" spans="1:11" ht="15.6">
      <c r="A223" s="414"/>
      <c r="B223" s="167" t="s">
        <v>650</v>
      </c>
      <c r="C223" s="167" t="s">
        <v>40</v>
      </c>
      <c r="D223" s="2315">
        <f>(D222-D213)*100/D213</f>
        <v>2.6634256834163744E-3</v>
      </c>
      <c r="E223" s="220" t="s">
        <v>699</v>
      </c>
      <c r="F223" s="167"/>
      <c r="G223" s="1233"/>
      <c r="H223" s="412"/>
    </row>
    <row r="224" spans="1:11" ht="16.2">
      <c r="A224" s="414"/>
      <c r="B224" s="1917" t="s">
        <v>2171</v>
      </c>
      <c r="C224" s="167" t="s">
        <v>862</v>
      </c>
      <c r="D224" s="2315">
        <f>D222/D213</f>
        <v>1.0000266342568342</v>
      </c>
      <c r="E224" s="198"/>
      <c r="F224" s="173"/>
      <c r="G224" s="81"/>
      <c r="H224" s="412"/>
    </row>
    <row r="225" spans="1:12" s="53" customFormat="1" ht="16.8" customHeight="1">
      <c r="A225" s="1383"/>
      <c r="B225" s="1950" t="s">
        <v>2194</v>
      </c>
      <c r="C225" s="1967"/>
      <c r="D225" s="1967"/>
      <c r="E225" s="1947"/>
      <c r="F225" s="1948"/>
      <c r="G225" s="1949"/>
      <c r="H225" s="1387"/>
      <c r="I225" s="82"/>
      <c r="J225" s="1282"/>
      <c r="K225" s="69"/>
      <c r="L225" s="70"/>
    </row>
    <row r="226" spans="1:12" s="3" customFormat="1" ht="16.8" customHeight="1">
      <c r="A226" s="500"/>
      <c r="B226" s="1210" t="s">
        <v>39</v>
      </c>
      <c r="C226" s="421"/>
      <c r="D226" s="458"/>
      <c r="E226" s="421"/>
      <c r="F226" s="420"/>
      <c r="G226" s="1868"/>
      <c r="H226" s="1871" t="s">
        <v>346</v>
      </c>
      <c r="I226" s="626"/>
      <c r="J226" s="1147"/>
    </row>
    <row r="227" spans="1:12" ht="15.75" customHeight="1">
      <c r="A227" s="414"/>
      <c r="B227" s="677" t="s">
        <v>2164</v>
      </c>
      <c r="C227" s="167"/>
      <c r="D227" s="209" t="s">
        <v>4</v>
      </c>
      <c r="E227" s="173"/>
      <c r="F227" s="167"/>
      <c r="G227" s="1230"/>
      <c r="H227" s="412"/>
    </row>
    <row r="228" spans="1:12" ht="15.75" customHeight="1">
      <c r="A228" s="414"/>
      <c r="B228" s="167" t="s">
        <v>37</v>
      </c>
      <c r="C228" s="168" t="s">
        <v>189</v>
      </c>
      <c r="D228" s="257">
        <f>(1/2)*D213*POWER(D214*1000,2)</f>
        <v>2.1804915716799998E-18</v>
      </c>
      <c r="E228" s="220" t="s">
        <v>631</v>
      </c>
      <c r="F228" s="167"/>
      <c r="G228" s="97"/>
      <c r="H228" s="412"/>
    </row>
    <row r="229" spans="1:12" ht="15.75" customHeight="1">
      <c r="A229" s="414"/>
      <c r="B229" s="242"/>
      <c r="C229" s="206"/>
      <c r="D229" s="214" t="s">
        <v>42</v>
      </c>
      <c r="E229" s="173" t="s">
        <v>2446</v>
      </c>
      <c r="F229" s="242"/>
      <c r="G229" s="459" t="s">
        <v>212</v>
      </c>
      <c r="H229" s="430"/>
    </row>
    <row r="230" spans="1:12" ht="15.75" customHeight="1">
      <c r="A230" s="414"/>
      <c r="B230" s="167" t="s">
        <v>2065</v>
      </c>
      <c r="C230" s="168" t="s">
        <v>180</v>
      </c>
      <c r="D230" s="739">
        <v>1.602176E-19</v>
      </c>
      <c r="E230" s="225" t="s">
        <v>631</v>
      </c>
      <c r="F230" s="167"/>
      <c r="G230" s="193"/>
      <c r="H230" s="412"/>
      <c r="K230"/>
    </row>
    <row r="231" spans="1:12" ht="15.75" customHeight="1">
      <c r="A231" s="414"/>
      <c r="B231" s="225"/>
      <c r="C231" s="168" t="s">
        <v>189</v>
      </c>
      <c r="D231" s="1370">
        <f>D228/D230</f>
        <v>13.60956331688903</v>
      </c>
      <c r="E231" s="220" t="s">
        <v>2307</v>
      </c>
      <c r="F231" s="166"/>
      <c r="G231" s="193"/>
      <c r="H231" s="412"/>
      <c r="K231"/>
    </row>
    <row r="232" spans="1:12" s="1" customFormat="1" ht="15.75" customHeight="1">
      <c r="A232" s="429"/>
      <c r="B232" s="242"/>
      <c r="C232" s="167"/>
      <c r="D232" s="178"/>
      <c r="E232" s="242"/>
      <c r="F232" s="242"/>
      <c r="G232" s="193"/>
      <c r="H232" s="430"/>
      <c r="I232" s="89"/>
      <c r="J232" s="1147"/>
      <c r="K232"/>
      <c r="L232" s="5"/>
    </row>
    <row r="233" spans="1:12" s="1" customFormat="1" ht="15.75" customHeight="1">
      <c r="A233" s="429"/>
      <c r="B233" s="677" t="s">
        <v>2165</v>
      </c>
      <c r="C233" s="242"/>
      <c r="D233" s="242"/>
      <c r="E233" s="242"/>
      <c r="F233" s="242"/>
      <c r="G233" s="182"/>
      <c r="H233" s="412"/>
      <c r="I233" s="89"/>
      <c r="J233" s="1147"/>
      <c r="K233" s="19"/>
      <c r="L233" s="5"/>
    </row>
    <row r="234" spans="1:12" s="1" customFormat="1" ht="15.75" customHeight="1">
      <c r="A234" s="429"/>
      <c r="B234" s="193" t="s">
        <v>377</v>
      </c>
      <c r="C234" s="242"/>
      <c r="D234" s="242"/>
      <c r="E234" s="242"/>
      <c r="F234" s="242"/>
      <c r="G234" s="242"/>
      <c r="H234" s="430"/>
      <c r="I234" s="89"/>
      <c r="J234" s="1147"/>
      <c r="K234"/>
      <c r="L234" s="5"/>
    </row>
    <row r="235" spans="1:12" ht="15.75" customHeight="1">
      <c r="A235" s="414"/>
      <c r="B235" s="182" t="s">
        <v>378</v>
      </c>
      <c r="C235" s="166"/>
      <c r="D235" s="204"/>
      <c r="E235" s="167"/>
      <c r="F235" s="193"/>
      <c r="G235" s="175"/>
      <c r="H235" s="412"/>
    </row>
    <row r="236" spans="1:12" ht="15.75" customHeight="1">
      <c r="A236" s="414"/>
      <c r="B236" s="173"/>
      <c r="C236" s="167"/>
      <c r="D236" s="209" t="s">
        <v>4</v>
      </c>
      <c r="E236" s="167"/>
      <c r="F236" s="193"/>
      <c r="G236" s="175"/>
      <c r="H236" s="412"/>
    </row>
    <row r="237" spans="1:12" ht="15.75" customHeight="1">
      <c r="A237" s="414"/>
      <c r="B237" s="167" t="s">
        <v>1205</v>
      </c>
      <c r="C237" s="168" t="s">
        <v>196</v>
      </c>
      <c r="D237" s="1370">
        <f>D213*POWER(D9,2)</f>
        <v>8.1871204415865905E-14</v>
      </c>
      <c r="E237" s="220" t="s">
        <v>631</v>
      </c>
      <c r="F237" s="193"/>
      <c r="G237" s="1234"/>
      <c r="H237" s="412"/>
      <c r="K237"/>
    </row>
    <row r="238" spans="1:12" ht="15.75" customHeight="1">
      <c r="A238" s="414"/>
      <c r="B238" s="125" t="s">
        <v>457</v>
      </c>
      <c r="C238" s="168" t="s">
        <v>196</v>
      </c>
      <c r="D238" s="1370">
        <f>D237/D230</f>
        <v>511000.06750735187</v>
      </c>
      <c r="E238" s="220" t="s">
        <v>2307</v>
      </c>
      <c r="F238" s="193"/>
      <c r="G238" s="175"/>
      <c r="H238" s="412"/>
      <c r="K238"/>
    </row>
    <row r="239" spans="1:12" ht="15.75" customHeight="1">
      <c r="A239" s="414"/>
      <c r="B239" s="27"/>
      <c r="C239" s="168"/>
      <c r="D239" s="215"/>
      <c r="E239" s="220"/>
      <c r="F239" s="193"/>
      <c r="G239" s="80"/>
      <c r="H239" s="412"/>
    </row>
    <row r="240" spans="1:12" ht="15.75" customHeight="1">
      <c r="A240" s="414"/>
      <c r="B240" s="167" t="s">
        <v>2066</v>
      </c>
      <c r="C240" s="168" t="s">
        <v>197</v>
      </c>
      <c r="D240" s="1370">
        <f>D213*POWER(D9,2)/SQRT(1-(POWER(D214*1000,2)/POWER(D9,2)))</f>
        <v>8.1873384994551633E-14</v>
      </c>
      <c r="E240" s="220" t="s">
        <v>631</v>
      </c>
      <c r="F240" s="193"/>
      <c r="G240" s="1231"/>
      <c r="H240" s="412"/>
    </row>
    <row r="241" spans="1:12" ht="15.75" customHeight="1">
      <c r="A241" s="414"/>
      <c r="B241" s="193"/>
      <c r="C241" s="168" t="s">
        <v>197</v>
      </c>
      <c r="D241" s="1370">
        <f>D240/D230</f>
        <v>511013.67761439213</v>
      </c>
      <c r="E241" s="220" t="s">
        <v>2307</v>
      </c>
      <c r="F241" s="193"/>
      <c r="G241" s="97"/>
      <c r="H241" s="412"/>
    </row>
    <row r="242" spans="1:12" ht="15.75" customHeight="1">
      <c r="A242" s="414"/>
      <c r="B242" s="107"/>
      <c r="C242" s="167"/>
      <c r="D242" s="204"/>
      <c r="E242" s="168"/>
      <c r="F242" s="193"/>
      <c r="G242" s="2103" t="s">
        <v>599</v>
      </c>
      <c r="H242" s="412"/>
      <c r="K242"/>
    </row>
    <row r="243" spans="1:12" ht="15.75" customHeight="1">
      <c r="A243" s="414"/>
      <c r="B243" s="1851" t="s">
        <v>2119</v>
      </c>
      <c r="C243" s="167"/>
      <c r="D243" s="204"/>
      <c r="E243" s="168"/>
      <c r="F243" s="193"/>
      <c r="G243" s="2104" t="s">
        <v>1655</v>
      </c>
      <c r="H243" s="412"/>
      <c r="K243"/>
    </row>
    <row r="244" spans="1:12" ht="15.6" customHeight="1">
      <c r="A244" s="414"/>
      <c r="B244" s="193"/>
      <c r="C244" s="167"/>
      <c r="D244" s="204"/>
      <c r="E244" s="168"/>
      <c r="F244" s="193"/>
      <c r="G244" s="175"/>
      <c r="H244" s="412"/>
    </row>
    <row r="245" spans="1:12" ht="15.75" customHeight="1">
      <c r="A245" s="414"/>
      <c r="B245" s="167" t="s">
        <v>37</v>
      </c>
      <c r="C245" s="168" t="s">
        <v>190</v>
      </c>
      <c r="D245" s="1368">
        <f xml:space="preserve"> D240-D237</f>
        <v>2.1805786857280136E-18</v>
      </c>
      <c r="E245" s="220" t="s">
        <v>631</v>
      </c>
      <c r="F245" s="193"/>
      <c r="G245" s="1235"/>
      <c r="H245" s="412"/>
    </row>
    <row r="246" spans="1:12" ht="15.75" customHeight="1">
      <c r="A246" s="414"/>
      <c r="B246" s="167"/>
      <c r="C246" s="168"/>
      <c r="D246" s="216"/>
      <c r="E246" s="443"/>
      <c r="F246" s="176"/>
      <c r="G246" s="80"/>
      <c r="H246" s="412"/>
    </row>
    <row r="247" spans="1:12" ht="15.75" customHeight="1">
      <c r="A247" s="414"/>
      <c r="B247" s="167"/>
      <c r="C247" s="168" t="s">
        <v>190</v>
      </c>
      <c r="D247" s="1370">
        <f>D213*POWER(D9,2)*(1/SQRT(1-POWER(D214*1000,2)/POWER(D9,2))-1)</f>
        <v>2.180578685723042E-18</v>
      </c>
      <c r="E247" s="220" t="s">
        <v>631</v>
      </c>
      <c r="F247" s="460" t="s">
        <v>38</v>
      </c>
      <c r="G247" s="1231"/>
      <c r="H247" s="412"/>
    </row>
    <row r="248" spans="1:12" ht="15.75" customHeight="1">
      <c r="A248" s="414"/>
      <c r="B248" s="167"/>
      <c r="C248" s="168"/>
      <c r="D248" s="216"/>
      <c r="E248" s="220"/>
      <c r="F248" s="176"/>
      <c r="G248" s="97"/>
      <c r="H248" s="412"/>
    </row>
    <row r="249" spans="1:12" ht="15.75" customHeight="1">
      <c r="A249" s="414"/>
      <c r="B249" s="167"/>
      <c r="C249" s="168" t="s">
        <v>190</v>
      </c>
      <c r="D249" s="1370">
        <f>(D222-D213)*POWER(D9,2)</f>
        <v>2.1805786857344935E-18</v>
      </c>
      <c r="E249" s="220" t="s">
        <v>631</v>
      </c>
      <c r="F249" s="460" t="s">
        <v>38</v>
      </c>
      <c r="G249" s="96"/>
      <c r="H249" s="412"/>
    </row>
    <row r="250" spans="1:12" ht="15.75" customHeight="1">
      <c r="A250" s="414"/>
      <c r="B250" s="167"/>
      <c r="C250" s="168"/>
      <c r="D250" s="172"/>
      <c r="E250" s="220"/>
      <c r="F250" s="193"/>
      <c r="G250" s="175"/>
      <c r="H250" s="412"/>
      <c r="K250"/>
    </row>
    <row r="251" spans="1:12" ht="15.75" customHeight="1">
      <c r="A251" s="414"/>
      <c r="B251" s="167" t="s">
        <v>63</v>
      </c>
      <c r="C251" s="168" t="s">
        <v>305</v>
      </c>
      <c r="D251" s="1404">
        <f>(D245-D228)*100/D245</f>
        <v>3.9949967677803365E-3</v>
      </c>
      <c r="E251" s="220" t="s">
        <v>18</v>
      </c>
      <c r="F251" s="193"/>
      <c r="G251" s="175"/>
      <c r="H251" s="412"/>
      <c r="K251"/>
      <c r="L251"/>
    </row>
    <row r="252" spans="1:12" ht="14.4" customHeight="1">
      <c r="A252" s="414"/>
      <c r="B252" s="673"/>
      <c r="C252" s="198"/>
      <c r="D252" s="207"/>
      <c r="E252" s="220"/>
      <c r="F252" s="193"/>
      <c r="G252" s="175"/>
      <c r="H252" s="412"/>
    </row>
    <row r="253" spans="1:12" ht="15.75" customHeight="1">
      <c r="A253" s="414"/>
      <c r="B253" s="670" t="s">
        <v>1204</v>
      </c>
      <c r="C253" s="198"/>
      <c r="D253" s="207"/>
      <c r="E253" s="220"/>
      <c r="F253" s="193"/>
      <c r="G253" s="175"/>
      <c r="H253" s="412"/>
      <c r="K253"/>
    </row>
    <row r="254" spans="1:12" ht="15.75" customHeight="1">
      <c r="A254" s="414"/>
      <c r="B254" s="167" t="s">
        <v>379</v>
      </c>
      <c r="C254" s="168" t="s">
        <v>1585</v>
      </c>
      <c r="D254" s="1368">
        <f>D213*D214*1000</f>
        <v>1.9931367199999999E-24</v>
      </c>
      <c r="E254" s="220" t="s">
        <v>2872</v>
      </c>
      <c r="F254" s="193"/>
      <c r="G254" s="96"/>
      <c r="H254" s="412"/>
    </row>
    <row r="255" spans="1:12" ht="15.75" customHeight="1">
      <c r="A255" s="414"/>
      <c r="B255" s="167"/>
      <c r="C255" s="168"/>
      <c r="D255" s="217"/>
      <c r="E255" s="220"/>
      <c r="F255" s="193"/>
      <c r="G255" s="175"/>
      <c r="H255" s="412"/>
      <c r="J255" s="1"/>
      <c r="K255"/>
    </row>
    <row r="256" spans="1:12" ht="15.75" customHeight="1">
      <c r="A256" s="414"/>
      <c r="B256" s="670" t="s">
        <v>177</v>
      </c>
      <c r="C256" s="206"/>
      <c r="D256" s="172"/>
      <c r="E256" s="220"/>
      <c r="F256" s="193"/>
      <c r="G256" s="175"/>
      <c r="H256" s="412"/>
      <c r="J256" s="1"/>
      <c r="K256"/>
    </row>
    <row r="257" spans="1:11" ht="15.75" customHeight="1">
      <c r="A257" s="414"/>
      <c r="B257" s="167" t="s">
        <v>379</v>
      </c>
      <c r="C257" s="168" t="s">
        <v>1586</v>
      </c>
      <c r="D257" s="1369">
        <f>D222*D214*1000</f>
        <v>1.9931898057153058E-24</v>
      </c>
      <c r="E257" s="220" t="s">
        <v>2873</v>
      </c>
      <c r="F257" s="193"/>
      <c r="G257" s="96"/>
      <c r="H257" s="412"/>
    </row>
    <row r="258" spans="1:11" ht="15.75" customHeight="1">
      <c r="A258" s="414"/>
      <c r="B258" s="167"/>
      <c r="C258" s="218" t="s">
        <v>738</v>
      </c>
      <c r="D258" s="217"/>
      <c r="E258" s="173"/>
      <c r="F258" s="193"/>
      <c r="G258" s="175"/>
      <c r="H258" s="412"/>
    </row>
    <row r="259" spans="1:11" ht="15.75" customHeight="1">
      <c r="A259" s="414"/>
      <c r="B259" s="167"/>
      <c r="C259" s="168" t="s">
        <v>1586</v>
      </c>
      <c r="D259" s="1368">
        <f>(1/D9*(SQRT((D245+2*D237)*D245)))</f>
        <v>1.9931898057164486E-24</v>
      </c>
      <c r="E259" s="220" t="s">
        <v>2873</v>
      </c>
      <c r="F259" s="193"/>
      <c r="G259" s="80"/>
      <c r="H259" s="412"/>
    </row>
    <row r="260" spans="1:11" ht="15.75" customHeight="1">
      <c r="A260" s="414"/>
      <c r="B260" s="167" t="s">
        <v>178</v>
      </c>
      <c r="C260" s="168" t="s">
        <v>564</v>
      </c>
      <c r="D260" s="1404">
        <f>(D257-D254)*100/D257</f>
        <v>2.6633547469353818E-3</v>
      </c>
      <c r="E260" s="220" t="s">
        <v>699</v>
      </c>
      <c r="F260" s="193"/>
      <c r="G260" s="97"/>
      <c r="H260" s="412"/>
    </row>
    <row r="261" spans="1:11" ht="12.6" customHeight="1">
      <c r="A261" s="389"/>
      <c r="B261" s="395"/>
      <c r="C261" s="419"/>
      <c r="D261" s="461"/>
      <c r="E261" s="418"/>
      <c r="F261" s="419"/>
      <c r="G261" s="395"/>
      <c r="H261" s="1250"/>
    </row>
    <row r="262" spans="1:11" ht="18.75" customHeight="1">
      <c r="A262" s="485"/>
      <c r="B262" s="1212" t="s">
        <v>2965</v>
      </c>
      <c r="C262" s="462"/>
      <c r="D262" s="463"/>
      <c r="E262" s="464"/>
      <c r="F262" s="465"/>
      <c r="G262" s="422"/>
      <c r="H262" s="1871" t="s">
        <v>266</v>
      </c>
      <c r="K262"/>
    </row>
    <row r="263" spans="1:11" ht="15.75" customHeight="1">
      <c r="A263" s="414"/>
      <c r="B263" s="342" t="s">
        <v>1532</v>
      </c>
      <c r="C263" s="166"/>
      <c r="D263" s="172"/>
      <c r="E263" s="238"/>
      <c r="F263" s="166"/>
      <c r="G263" s="175"/>
      <c r="H263" s="417"/>
    </row>
    <row r="264" spans="1:11" ht="15.75" customHeight="1">
      <c r="A264" s="414"/>
      <c r="B264" s="173" t="s">
        <v>2269</v>
      </c>
      <c r="C264" s="166"/>
      <c r="D264" s="172"/>
      <c r="E264" s="238"/>
      <c r="F264" s="166"/>
      <c r="G264" s="175"/>
      <c r="H264" s="412"/>
      <c r="K264"/>
    </row>
    <row r="265" spans="1:11" ht="15.75" customHeight="1">
      <c r="A265" s="414"/>
      <c r="B265" s="173" t="s">
        <v>1831</v>
      </c>
      <c r="C265" s="167"/>
      <c r="D265" s="216"/>
      <c r="E265" s="173"/>
      <c r="F265" s="193"/>
      <c r="G265" s="175"/>
      <c r="H265" s="412"/>
    </row>
    <row r="266" spans="1:11" ht="15.75" customHeight="1">
      <c r="A266" s="414"/>
      <c r="B266" s="343" t="s">
        <v>2966</v>
      </c>
      <c r="C266" s="167"/>
      <c r="D266" s="216"/>
      <c r="E266" s="416"/>
      <c r="F266" s="193"/>
      <c r="G266" s="175"/>
      <c r="H266" s="412"/>
    </row>
    <row r="267" spans="1:11" ht="15.75" customHeight="1">
      <c r="A267" s="414"/>
      <c r="B267" s="343" t="s">
        <v>2967</v>
      </c>
      <c r="C267" s="167"/>
      <c r="D267" s="216"/>
      <c r="E267" s="173"/>
      <c r="F267" s="193"/>
      <c r="G267" s="175"/>
      <c r="H267" s="412"/>
    </row>
    <row r="268" spans="1:11" ht="15.75" customHeight="1">
      <c r="A268" s="414"/>
      <c r="B268" s="210" t="s">
        <v>1810</v>
      </c>
      <c r="C268" s="1410" t="s">
        <v>595</v>
      </c>
      <c r="D268" s="347"/>
      <c r="E268" s="220"/>
      <c r="F268" s="167"/>
      <c r="G268" s="175"/>
      <c r="H268" s="412"/>
      <c r="K268"/>
    </row>
    <row r="269" spans="1:11" ht="15.75" customHeight="1">
      <c r="A269" s="414"/>
      <c r="B269" s="343" t="s">
        <v>1811</v>
      </c>
      <c r="C269" s="176"/>
      <c r="D269" s="209" t="s">
        <v>3</v>
      </c>
      <c r="E269" s="466"/>
      <c r="F269" s="176"/>
      <c r="G269" s="1858" t="s">
        <v>429</v>
      </c>
      <c r="H269" s="412"/>
      <c r="K269"/>
    </row>
    <row r="270" spans="1:11" ht="15.75" customHeight="1">
      <c r="A270" s="414"/>
      <c r="B270" s="674" t="s">
        <v>667</v>
      </c>
      <c r="C270" s="168" t="s">
        <v>198</v>
      </c>
      <c r="D270" s="262">
        <v>656.27800000000002</v>
      </c>
      <c r="E270" s="220" t="s">
        <v>685</v>
      </c>
      <c r="F270" s="176"/>
      <c r="G270" s="79" t="s">
        <v>735</v>
      </c>
      <c r="H270" s="412"/>
      <c r="K270"/>
    </row>
    <row r="271" spans="1:11" ht="15.75" customHeight="1">
      <c r="A271" s="414"/>
      <c r="B271" s="674"/>
      <c r="C271" s="168" t="s">
        <v>687</v>
      </c>
      <c r="D271" s="1367">
        <f>D9/(D270/1000000000)</f>
        <v>456807112687443.69</v>
      </c>
      <c r="E271" s="220" t="s">
        <v>688</v>
      </c>
      <c r="F271" s="176"/>
      <c r="G271" s="226" t="s">
        <v>736</v>
      </c>
      <c r="H271" s="412"/>
    </row>
    <row r="272" spans="1:11" ht="15.75" customHeight="1">
      <c r="A272" s="414"/>
      <c r="B272" s="223" t="s">
        <v>591</v>
      </c>
      <c r="C272" s="168" t="s">
        <v>200</v>
      </c>
      <c r="D272" s="262">
        <v>655.37</v>
      </c>
      <c r="E272" s="220" t="s">
        <v>685</v>
      </c>
      <c r="F272" s="167"/>
      <c r="G272" s="1236"/>
      <c r="H272" s="412"/>
    </row>
    <row r="273" spans="1:12" ht="15.75" customHeight="1">
      <c r="A273" s="414"/>
      <c r="B273" s="520"/>
      <c r="C273" s="168" t="s">
        <v>1202</v>
      </c>
      <c r="D273" s="1367">
        <f>D9/(D272/1000000000)</f>
        <v>457440008392648.69</v>
      </c>
      <c r="E273" s="220" t="s">
        <v>688</v>
      </c>
      <c r="F273" s="167"/>
      <c r="G273" s="1237"/>
      <c r="H273" s="412"/>
    </row>
    <row r="274" spans="1:12" ht="12" customHeight="1">
      <c r="A274" s="414"/>
      <c r="B274" s="107"/>
      <c r="C274" s="176"/>
      <c r="D274" s="347"/>
      <c r="E274" s="416"/>
      <c r="F274" s="207"/>
      <c r="G274" s="615"/>
      <c r="H274" s="412"/>
    </row>
    <row r="275" spans="1:12" ht="15.75" customHeight="1">
      <c r="A275" s="414"/>
      <c r="B275" s="107"/>
      <c r="C275" s="176"/>
      <c r="D275" s="467" t="s">
        <v>4</v>
      </c>
      <c r="E275" s="416"/>
      <c r="F275" s="176"/>
      <c r="G275" s="360"/>
      <c r="H275" s="412"/>
    </row>
    <row r="276" spans="1:12" ht="15.75" customHeight="1">
      <c r="A276" s="414"/>
      <c r="B276" s="167" t="s">
        <v>592</v>
      </c>
      <c r="C276" s="168" t="s">
        <v>65</v>
      </c>
      <c r="D276" s="1366">
        <f>(D272-D270)/D270</f>
        <v>-1.3835600157250669E-3</v>
      </c>
      <c r="E276" s="416"/>
      <c r="F276" s="173"/>
      <c r="G276" s="1227"/>
      <c r="H276" s="412"/>
    </row>
    <row r="277" spans="1:12" ht="15.75" customHeight="1">
      <c r="A277" s="414"/>
      <c r="B277" s="107"/>
      <c r="C277" s="176"/>
      <c r="D277" s="347"/>
      <c r="E277" s="110"/>
      <c r="F277" s="167"/>
      <c r="G277" s="107"/>
      <c r="H277" s="412"/>
    </row>
    <row r="278" spans="1:12" ht="15.75" customHeight="1">
      <c r="A278" s="414"/>
      <c r="B278" s="675" t="s">
        <v>57</v>
      </c>
      <c r="C278" s="189" t="s">
        <v>2491</v>
      </c>
      <c r="D278" s="402"/>
      <c r="E278" s="220"/>
      <c r="F278" s="167"/>
      <c r="G278" s="27"/>
      <c r="H278" s="412"/>
    </row>
    <row r="279" spans="1:12" ht="15.75" customHeight="1">
      <c r="A279" s="414"/>
      <c r="B279" s="27"/>
      <c r="C279" s="189" t="s">
        <v>2490</v>
      </c>
      <c r="D279" s="221"/>
      <c r="E279" s="173"/>
      <c r="F279" s="167"/>
      <c r="G279" s="107"/>
      <c r="H279" s="430"/>
      <c r="K279"/>
    </row>
    <row r="280" spans="1:12" ht="15.75" customHeight="1">
      <c r="A280" s="414"/>
      <c r="B280" s="663"/>
      <c r="C280" s="189" t="s">
        <v>2492</v>
      </c>
      <c r="D280" s="242"/>
      <c r="E280" s="238"/>
      <c r="F280" s="166"/>
      <c r="G280" s="242"/>
      <c r="H280" s="430"/>
    </row>
    <row r="281" spans="1:12" ht="15.75" customHeight="1">
      <c r="A281" s="414"/>
      <c r="B281" s="663"/>
      <c r="C281" s="184" t="s">
        <v>2489</v>
      </c>
      <c r="D281" s="222"/>
      <c r="E281" s="173"/>
      <c r="F281" s="167"/>
      <c r="G281" s="205"/>
      <c r="H281" s="430"/>
      <c r="K281"/>
      <c r="L281" s="19"/>
    </row>
    <row r="282" spans="1:12" ht="15.75" customHeight="1">
      <c r="A282" s="414"/>
      <c r="B282" s="663"/>
      <c r="C282" s="184" t="s">
        <v>2493</v>
      </c>
      <c r="D282" s="242"/>
      <c r="E282" s="238"/>
      <c r="F282" s="166"/>
      <c r="G282" s="242"/>
      <c r="H282" s="430"/>
      <c r="K282"/>
    </row>
    <row r="283" spans="1:12" ht="15.75" customHeight="1">
      <c r="A283" s="414"/>
      <c r="B283" s="1859" t="s">
        <v>2120</v>
      </c>
      <c r="C283" s="616"/>
      <c r="D283" s="178"/>
      <c r="E283" s="173"/>
      <c r="F283" s="167"/>
      <c r="G283" s="178"/>
      <c r="H283" s="431"/>
      <c r="K283"/>
    </row>
    <row r="284" spans="1:12" ht="15.75" customHeight="1">
      <c r="A284" s="414"/>
      <c r="B284" s="676" t="s">
        <v>594</v>
      </c>
      <c r="C284" s="176"/>
      <c r="D284" s="347"/>
      <c r="E284" s="416"/>
      <c r="F284" s="176"/>
      <c r="G284" s="226" t="s">
        <v>664</v>
      </c>
      <c r="H284" s="412"/>
      <c r="K284"/>
    </row>
    <row r="285" spans="1:12" ht="15.75" customHeight="1">
      <c r="A285" s="414"/>
      <c r="B285" s="407" t="s">
        <v>665</v>
      </c>
      <c r="C285" s="224" t="s">
        <v>206</v>
      </c>
      <c r="D285" s="1365">
        <f>D276*D9/1000</f>
        <v>-414.78085832020594</v>
      </c>
      <c r="E285" s="468" t="s">
        <v>684</v>
      </c>
      <c r="F285" s="167"/>
      <c r="G285" s="1238"/>
      <c r="H285" s="412"/>
      <c r="K285" s="638"/>
    </row>
    <row r="286" spans="1:12" ht="15.75" customHeight="1">
      <c r="A286" s="414"/>
      <c r="B286" s="1118" t="s">
        <v>666</v>
      </c>
      <c r="C286" s="224"/>
      <c r="D286" s="347"/>
      <c r="E286" s="468"/>
      <c r="F286" s="407"/>
      <c r="G286" s="1230"/>
      <c r="H286" s="412"/>
      <c r="J286" s="1149"/>
      <c r="K286" s="640"/>
      <c r="L286" s="626"/>
    </row>
    <row r="287" spans="1:12" ht="15.75" customHeight="1">
      <c r="A287" s="414"/>
      <c r="B287" s="1117" t="s">
        <v>593</v>
      </c>
      <c r="C287" s="224" t="s">
        <v>206</v>
      </c>
      <c r="D287" s="1363">
        <f>D9/1000*((POWER((D276+1),2)-1)/(POWER((D276+1),2)+1))</f>
        <v>-415.06779515061902</v>
      </c>
      <c r="E287" s="468" t="s">
        <v>684</v>
      </c>
      <c r="F287" s="407"/>
      <c r="G287" s="97"/>
      <c r="H287" s="412"/>
      <c r="I287" s="16"/>
      <c r="J287" s="1295"/>
      <c r="K287" s="702"/>
      <c r="L287" s="617"/>
    </row>
    <row r="288" spans="1:12" s="43" customFormat="1" ht="15.75" customHeight="1">
      <c r="A288" s="414"/>
      <c r="B288" s="107"/>
      <c r="C288" s="224"/>
      <c r="D288" s="406"/>
      <c r="E288" s="468"/>
      <c r="F288" s="407"/>
      <c r="G288" s="226" t="s">
        <v>600</v>
      </c>
      <c r="H288" s="412"/>
      <c r="J288" s="1290"/>
      <c r="K288" s="640"/>
      <c r="L288" s="13"/>
    </row>
    <row r="289" spans="1:12" ht="15.75" customHeight="1">
      <c r="A289" s="414"/>
      <c r="B289" s="175"/>
      <c r="C289" s="166"/>
      <c r="D289" s="469"/>
      <c r="E289" s="238"/>
      <c r="F289" s="166"/>
      <c r="G289" s="175"/>
      <c r="H289" s="412"/>
      <c r="K289" s="640"/>
    </row>
    <row r="290" spans="1:12" ht="15.75" customHeight="1">
      <c r="A290" s="414"/>
      <c r="B290" s="175"/>
      <c r="C290" s="166"/>
      <c r="D290" s="469"/>
      <c r="E290" s="238"/>
      <c r="F290" s="166"/>
      <c r="G290" s="175"/>
      <c r="H290" s="412"/>
    </row>
    <row r="291" spans="1:12" ht="15.75" customHeight="1">
      <c r="A291" s="414"/>
      <c r="B291" s="435"/>
      <c r="C291" s="166"/>
      <c r="D291" s="469"/>
      <c r="E291" s="238"/>
      <c r="F291" s="166"/>
      <c r="G291" s="175"/>
      <c r="H291" s="412"/>
    </row>
    <row r="292" spans="1:12" ht="15.75" customHeight="1">
      <c r="A292" s="414"/>
      <c r="B292" s="175"/>
      <c r="C292" s="166"/>
      <c r="D292" s="469"/>
      <c r="E292" s="238"/>
      <c r="F292" s="166"/>
      <c r="G292" s="175"/>
      <c r="H292" s="412"/>
    </row>
    <row r="293" spans="1:12" ht="15.75" customHeight="1">
      <c r="A293" s="414"/>
      <c r="B293" s="175"/>
      <c r="C293" s="166"/>
      <c r="D293" s="469"/>
      <c r="E293" s="238"/>
      <c r="F293" s="166"/>
      <c r="G293" s="175"/>
      <c r="H293" s="412"/>
    </row>
    <row r="294" spans="1:12" ht="15.75" customHeight="1">
      <c r="A294" s="414"/>
      <c r="B294" s="175"/>
      <c r="C294" s="166"/>
      <c r="D294" s="172"/>
      <c r="E294" s="238"/>
      <c r="F294" s="166"/>
      <c r="G294" s="175"/>
      <c r="H294" s="412"/>
    </row>
    <row r="295" spans="1:12" ht="15.75" customHeight="1">
      <c r="A295" s="414"/>
      <c r="B295" s="1860" t="s">
        <v>2121</v>
      </c>
      <c r="C295" s="1861" t="s">
        <v>2122</v>
      </c>
      <c r="D295" s="469"/>
      <c r="E295" s="238"/>
      <c r="F295" s="166"/>
      <c r="G295" s="175"/>
      <c r="H295" s="412"/>
    </row>
    <row r="296" spans="1:12" ht="14.4" customHeight="1">
      <c r="A296" s="414"/>
      <c r="B296" s="199" t="s">
        <v>605</v>
      </c>
      <c r="C296" s="167"/>
      <c r="D296" s="172"/>
      <c r="E296" s="180" t="s">
        <v>2576</v>
      </c>
      <c r="F296" s="219"/>
      <c r="G296" s="212"/>
      <c r="H296" s="412"/>
    </row>
    <row r="297" spans="1:12" ht="14.4" customHeight="1">
      <c r="A297" s="389"/>
      <c r="B297" s="1549" t="s">
        <v>606</v>
      </c>
      <c r="C297" s="426"/>
      <c r="D297" s="450"/>
      <c r="E297" s="1116" t="s">
        <v>2577</v>
      </c>
      <c r="F297" s="471"/>
      <c r="G297" s="472"/>
      <c r="H297" s="1250"/>
    </row>
    <row r="298" spans="1:12" s="53" customFormat="1" ht="15.6" customHeight="1">
      <c r="A298" s="688"/>
      <c r="B298" s="1210" t="s">
        <v>2360</v>
      </c>
      <c r="C298" s="595"/>
      <c r="D298" s="596"/>
      <c r="E298" s="597"/>
      <c r="F298" s="595"/>
      <c r="G298" s="599"/>
      <c r="H298" s="1906" t="s">
        <v>444</v>
      </c>
      <c r="I298" s="82"/>
      <c r="J298" s="1282"/>
      <c r="K298" s="69"/>
      <c r="L298" s="70"/>
    </row>
    <row r="299" spans="1:12" ht="13.8" customHeight="1">
      <c r="A299" s="414"/>
      <c r="B299" s="2047" t="s">
        <v>2365</v>
      </c>
      <c r="C299" s="166"/>
      <c r="D299" s="172"/>
      <c r="E299" s="238"/>
      <c r="F299" s="166"/>
      <c r="G299" s="175"/>
      <c r="H299" s="412"/>
    </row>
    <row r="300" spans="1:12" ht="13.8" customHeight="1">
      <c r="A300" s="414"/>
      <c r="B300" s="211" t="s">
        <v>2646</v>
      </c>
      <c r="C300" s="166"/>
      <c r="D300" s="469"/>
      <c r="E300" s="238"/>
      <c r="F300" s="166"/>
      <c r="G300" s="175"/>
      <c r="H300" s="412"/>
    </row>
    <row r="301" spans="1:12" ht="13.8" customHeight="1">
      <c r="A301" s="414"/>
      <c r="B301" s="211" t="s">
        <v>2366</v>
      </c>
      <c r="C301" s="166"/>
      <c r="D301" s="469"/>
      <c r="E301" s="238"/>
      <c r="F301" s="166"/>
      <c r="G301" s="175"/>
      <c r="H301" s="412"/>
    </row>
    <row r="302" spans="1:12" ht="13.8" customHeight="1">
      <c r="A302" s="414"/>
      <c r="B302" s="2046" t="s">
        <v>2411</v>
      </c>
      <c r="C302" s="176"/>
      <c r="D302" s="1531"/>
      <c r="E302" s="1270"/>
      <c r="F302" s="1299"/>
      <c r="G302" s="691"/>
      <c r="H302" s="412"/>
      <c r="J302" s="1290"/>
      <c r="K302" s="640"/>
    </row>
    <row r="303" spans="1:12" ht="13.8" customHeight="1">
      <c r="A303" s="414"/>
      <c r="B303" s="1936" t="s">
        <v>2367</v>
      </c>
      <c r="C303" s="176"/>
      <c r="D303" s="1531"/>
      <c r="E303" s="1270"/>
      <c r="F303" s="1299"/>
      <c r="G303" s="691"/>
      <c r="H303" s="412"/>
      <c r="J303" s="1290"/>
    </row>
    <row r="304" spans="1:12" ht="13.8" customHeight="1">
      <c r="A304" s="414"/>
      <c r="B304" s="691"/>
      <c r="C304" s="2048" t="s">
        <v>2368</v>
      </c>
      <c r="D304" s="1531"/>
      <c r="E304" s="1270"/>
      <c r="F304" s="1299"/>
      <c r="G304" s="691"/>
      <c r="H304" s="412"/>
      <c r="J304" s="1290"/>
      <c r="K304" s="640"/>
    </row>
    <row r="305" spans="1:12" ht="14.4" customHeight="1">
      <c r="A305" s="414"/>
      <c r="B305" s="178"/>
      <c r="C305" s="167"/>
      <c r="D305" s="227" t="s">
        <v>3</v>
      </c>
      <c r="E305" s="173"/>
      <c r="F305" s="473"/>
      <c r="G305" s="175"/>
      <c r="H305" s="412"/>
      <c r="J305" s="1290"/>
      <c r="K305" s="640"/>
    </row>
    <row r="306" spans="1:12" ht="14.4" customHeight="1">
      <c r="A306" s="414"/>
      <c r="B306" s="167" t="s">
        <v>1298</v>
      </c>
      <c r="C306" s="168" t="s">
        <v>66</v>
      </c>
      <c r="D306" s="263">
        <v>8.8900000000000003E-3</v>
      </c>
      <c r="E306" s="220" t="s">
        <v>681</v>
      </c>
      <c r="F306" s="166"/>
      <c r="G306" s="175"/>
      <c r="H306" s="412"/>
    </row>
    <row r="307" spans="1:12" ht="14.4" customHeight="1">
      <c r="A307" s="414"/>
      <c r="B307" s="167" t="s">
        <v>46</v>
      </c>
      <c r="C307" s="168" t="s">
        <v>14</v>
      </c>
      <c r="D307" s="267">
        <v>5.9720000000000003E+24</v>
      </c>
      <c r="E307" s="220" t="s">
        <v>680</v>
      </c>
      <c r="F307" s="166"/>
      <c r="G307" s="175"/>
      <c r="H307" s="412"/>
    </row>
    <row r="308" spans="1:12" ht="14.4" customHeight="1">
      <c r="A308" s="414"/>
      <c r="B308" s="167" t="s">
        <v>2357</v>
      </c>
      <c r="C308" s="168" t="s">
        <v>198</v>
      </c>
      <c r="D308" s="255">
        <v>580</v>
      </c>
      <c r="E308" s="220" t="s">
        <v>685</v>
      </c>
      <c r="F308" s="167"/>
      <c r="G308" s="1239"/>
      <c r="H308" s="412"/>
    </row>
    <row r="309" spans="1:12" ht="14.4" customHeight="1">
      <c r="A309" s="414"/>
      <c r="B309" s="167" t="s">
        <v>2358</v>
      </c>
      <c r="C309" s="228" t="s">
        <v>199</v>
      </c>
      <c r="D309" s="1054">
        <f>((D9/1000)*1000000000)/D308</f>
        <v>516883548793.60376</v>
      </c>
      <c r="E309" s="220" t="s">
        <v>688</v>
      </c>
      <c r="F309" s="167"/>
      <c r="G309" s="1240"/>
      <c r="H309" s="412"/>
      <c r="K309"/>
    </row>
    <row r="310" spans="1:12" ht="14.4" customHeight="1">
      <c r="A310" s="414"/>
      <c r="B310" s="188"/>
      <c r="C310" s="663" t="s">
        <v>57</v>
      </c>
      <c r="D310" s="172"/>
      <c r="E310" s="238"/>
      <c r="F310" s="166"/>
      <c r="G310" s="175"/>
      <c r="H310" s="412"/>
      <c r="J310" s="1"/>
      <c r="K310"/>
      <c r="L310"/>
    </row>
    <row r="311" spans="1:12" ht="15" customHeight="1">
      <c r="A311" s="414"/>
      <c r="B311" s="2049" t="s">
        <v>2362</v>
      </c>
      <c r="C311" s="180" t="s">
        <v>1299</v>
      </c>
      <c r="D311" s="172"/>
      <c r="E311" s="173"/>
      <c r="F311" s="167"/>
      <c r="G311" s="205"/>
      <c r="H311" s="412"/>
      <c r="K311"/>
    </row>
    <row r="312" spans="1:12" ht="15.75" customHeight="1">
      <c r="A312" s="414"/>
      <c r="B312" s="480" t="s">
        <v>2359</v>
      </c>
      <c r="C312" s="229" t="s">
        <v>621</v>
      </c>
      <c r="D312" s="172"/>
      <c r="E312" s="238"/>
      <c r="F312" s="166"/>
      <c r="G312" s="175"/>
      <c r="H312" s="412"/>
      <c r="K312"/>
    </row>
    <row r="313" spans="1:12" ht="15.75" customHeight="1">
      <c r="A313" s="414"/>
      <c r="B313" s="677"/>
      <c r="C313" s="167"/>
      <c r="D313" s="209" t="s">
        <v>4</v>
      </c>
      <c r="E313" s="173"/>
      <c r="F313" s="166"/>
      <c r="G313" s="175"/>
      <c r="H313" s="412"/>
    </row>
    <row r="314" spans="1:12" ht="15.75" customHeight="1">
      <c r="A314" s="414"/>
      <c r="B314" s="219" t="s">
        <v>1029</v>
      </c>
      <c r="C314" s="168" t="s">
        <v>65</v>
      </c>
      <c r="D314" s="1353">
        <f>(1/(SQRT(1-(2*D30*D307/POWER(D9,2)/(D306)))))-1</f>
        <v>19.967759260431073</v>
      </c>
      <c r="E314" s="220"/>
      <c r="F314" s="167"/>
      <c r="G314" s="1230"/>
      <c r="H314" s="412"/>
    </row>
    <row r="315" spans="1:12" ht="15.75" customHeight="1">
      <c r="A315" s="414"/>
      <c r="B315" s="212"/>
      <c r="C315" s="168"/>
      <c r="D315" s="172"/>
      <c r="E315" s="220"/>
      <c r="F315" s="167"/>
      <c r="G315" s="1241" t="s">
        <v>50</v>
      </c>
      <c r="H315" s="412"/>
      <c r="K315"/>
    </row>
    <row r="316" spans="1:12" ht="15.75" customHeight="1">
      <c r="A316" s="414"/>
      <c r="B316" s="219" t="s">
        <v>49</v>
      </c>
      <c r="C316" s="168" t="s">
        <v>202</v>
      </c>
      <c r="D316" s="1356">
        <f>(D314+1)*D308</f>
        <v>12161.300371050022</v>
      </c>
      <c r="E316" s="220" t="s">
        <v>685</v>
      </c>
      <c r="F316" s="167"/>
      <c r="G316" s="1227"/>
      <c r="H316" s="412"/>
      <c r="K316" s="16"/>
    </row>
    <row r="317" spans="1:12" ht="15.75" customHeight="1">
      <c r="A317" s="414"/>
      <c r="C317" s="168"/>
      <c r="D317" s="172"/>
      <c r="E317" s="220"/>
      <c r="F317" s="167"/>
      <c r="G317" s="96"/>
      <c r="H317" s="412"/>
    </row>
    <row r="318" spans="1:12" ht="15.75" customHeight="1">
      <c r="A318" s="414"/>
      <c r="B318" s="2050" t="s">
        <v>2123</v>
      </c>
      <c r="C318" s="168" t="s">
        <v>201</v>
      </c>
      <c r="D318" s="1354">
        <f>(D9*1000000000)/D316</f>
        <v>24651348881567.484</v>
      </c>
      <c r="E318" s="220" t="s">
        <v>688</v>
      </c>
      <c r="F318" s="167"/>
      <c r="G318" s="1230"/>
      <c r="H318" s="412"/>
      <c r="J318" s="1149"/>
    </row>
    <row r="319" spans="1:12" ht="12" customHeight="1">
      <c r="A319" s="414"/>
      <c r="B319" s="448"/>
      <c r="C319" s="166"/>
      <c r="D319" s="172"/>
      <c r="E319" s="238"/>
      <c r="F319" s="167"/>
      <c r="G319" s="1227"/>
      <c r="H319" s="412"/>
    </row>
    <row r="320" spans="1:12" ht="15.6" customHeight="1">
      <c r="A320" s="414"/>
      <c r="B320" s="2051" t="s">
        <v>2361</v>
      </c>
      <c r="C320" s="166"/>
      <c r="D320" s="172"/>
      <c r="E320" s="238"/>
      <c r="F320" s="166"/>
      <c r="G320" s="175"/>
      <c r="H320" s="412"/>
      <c r="L320"/>
    </row>
    <row r="321" spans="1:13" s="53" customFormat="1" ht="14.4" customHeight="1">
      <c r="A321" s="333"/>
      <c r="B321" s="593" t="s">
        <v>1649</v>
      </c>
      <c r="C321" s="407"/>
      <c r="D321" s="999"/>
      <c r="E321" s="237"/>
      <c r="F321" s="407"/>
      <c r="G321" s="1000"/>
      <c r="H321" s="409"/>
      <c r="I321" s="82"/>
      <c r="J321" s="1296"/>
      <c r="K321" s="69"/>
      <c r="L321" s="70"/>
    </row>
    <row r="322" spans="1:13" s="53" customFormat="1" ht="14.4" customHeight="1">
      <c r="A322" s="333"/>
      <c r="B322" s="593" t="s">
        <v>1531</v>
      </c>
      <c r="C322" s="508"/>
      <c r="D322" s="411"/>
      <c r="E322" s="415"/>
      <c r="F322" s="1001"/>
      <c r="G322" s="408"/>
      <c r="H322" s="409"/>
      <c r="I322" s="82"/>
      <c r="J322" s="1282"/>
      <c r="K322"/>
      <c r="L322" s="70"/>
    </row>
    <row r="323" spans="1:13" s="53" customFormat="1" ht="14.4" customHeight="1">
      <c r="A323" s="333"/>
      <c r="B323" s="593" t="s">
        <v>1671</v>
      </c>
      <c r="C323" s="508"/>
      <c r="D323" s="411"/>
      <c r="E323" s="415"/>
      <c r="F323" s="1001"/>
      <c r="G323" s="408"/>
      <c r="H323" s="409"/>
      <c r="I323" s="82"/>
      <c r="J323" s="1282"/>
      <c r="K323" s="69"/>
      <c r="L323" s="70"/>
    </row>
    <row r="324" spans="1:13" s="53" customFormat="1" ht="14.4" customHeight="1">
      <c r="A324" s="333"/>
      <c r="B324" s="664" t="s">
        <v>2968</v>
      </c>
      <c r="C324" s="618"/>
      <c r="D324" s="621"/>
      <c r="E324" s="619"/>
      <c r="F324" s="618"/>
      <c r="G324" s="508"/>
      <c r="H324" s="409"/>
      <c r="I324" s="82"/>
      <c r="J324" s="1297"/>
      <c r="L324" s="70"/>
    </row>
    <row r="325" spans="1:13" ht="13.2" customHeight="1">
      <c r="A325" s="414"/>
      <c r="B325" s="664" t="s">
        <v>2354</v>
      </c>
      <c r="C325" s="107"/>
      <c r="D325" s="230" t="s">
        <v>3</v>
      </c>
      <c r="E325" s="238"/>
      <c r="F325" s="663" t="s">
        <v>57</v>
      </c>
      <c r="G325" s="188" t="s">
        <v>1651</v>
      </c>
      <c r="H325" s="431"/>
    </row>
    <row r="326" spans="1:13" ht="15.75" customHeight="1">
      <c r="A326" s="414"/>
      <c r="B326" s="407" t="s">
        <v>272</v>
      </c>
      <c r="C326" s="168" t="s">
        <v>273</v>
      </c>
      <c r="D326" s="258">
        <v>658.00300000000004</v>
      </c>
      <c r="E326" s="220" t="s">
        <v>685</v>
      </c>
      <c r="F326" s="167"/>
      <c r="G326" s="189" t="s">
        <v>1653</v>
      </c>
      <c r="H326" s="431"/>
      <c r="J326" s="1292"/>
      <c r="K326" s="69"/>
    </row>
    <row r="327" spans="1:13" ht="15.75" customHeight="1">
      <c r="A327" s="414"/>
      <c r="B327" s="407" t="s">
        <v>1652</v>
      </c>
      <c r="C327" s="168" t="s">
        <v>275</v>
      </c>
      <c r="D327" s="258">
        <v>656.29700000000003</v>
      </c>
      <c r="E327" s="220" t="s">
        <v>685</v>
      </c>
      <c r="F327" s="752"/>
      <c r="G327" s="189" t="s">
        <v>1654</v>
      </c>
      <c r="H327" s="412"/>
      <c r="J327" s="1183"/>
    </row>
    <row r="328" spans="1:13" ht="15.75" customHeight="1">
      <c r="A328" s="414"/>
      <c r="B328" s="175"/>
      <c r="C328" s="168" t="s">
        <v>274</v>
      </c>
      <c r="D328" s="1364">
        <f xml:space="preserve"> D326-D327</f>
        <v>1.7060000000000173</v>
      </c>
      <c r="E328" s="220" t="s">
        <v>685</v>
      </c>
      <c r="F328" s="166"/>
      <c r="G328" s="1242"/>
      <c r="H328" s="412"/>
    </row>
    <row r="329" spans="1:13" ht="15.75" customHeight="1">
      <c r="A329" s="414"/>
      <c r="B329" s="407" t="s">
        <v>1672</v>
      </c>
      <c r="C329" s="166"/>
      <c r="D329" s="209" t="s">
        <v>4</v>
      </c>
      <c r="E329" s="238"/>
      <c r="F329" s="167"/>
      <c r="G329" s="1527"/>
      <c r="H329" s="431"/>
      <c r="K329"/>
    </row>
    <row r="330" spans="1:13" ht="15.75" customHeight="1">
      <c r="A330" s="414"/>
      <c r="B330" s="407" t="s">
        <v>1924</v>
      </c>
      <c r="C330" s="168" t="s">
        <v>6</v>
      </c>
      <c r="D330" s="1356">
        <f>(D328/D327)*(D9/1000)</f>
        <v>779.29037289565576</v>
      </c>
      <c r="E330" s="220" t="s">
        <v>684</v>
      </c>
      <c r="F330" s="167"/>
      <c r="G330" s="1243"/>
      <c r="H330" s="431"/>
    </row>
    <row r="331" spans="1:13" ht="15.75" customHeight="1">
      <c r="A331" s="414"/>
      <c r="B331" s="407" t="s">
        <v>294</v>
      </c>
      <c r="C331" s="168" t="s">
        <v>276</v>
      </c>
      <c r="D331" s="1536">
        <v>74</v>
      </c>
      <c r="E331" s="220" t="s">
        <v>2575</v>
      </c>
      <c r="F331" s="166"/>
      <c r="G331" s="1941" t="s">
        <v>2195</v>
      </c>
      <c r="H331" s="412"/>
      <c r="K331" s="1261"/>
      <c r="M331" s="3"/>
    </row>
    <row r="332" spans="1:13" ht="15" customHeight="1">
      <c r="A332" s="414"/>
      <c r="B332" s="178"/>
      <c r="C332" s="166"/>
      <c r="D332" s="172"/>
      <c r="E332" s="238"/>
      <c r="F332" s="1555"/>
      <c r="G332" s="1951" t="s">
        <v>1648</v>
      </c>
      <c r="H332" s="431"/>
      <c r="K332"/>
    </row>
    <row r="333" spans="1:13" ht="15.75" customHeight="1">
      <c r="A333" s="414"/>
      <c r="B333" s="1411" t="s">
        <v>2371</v>
      </c>
      <c r="C333" s="168" t="s">
        <v>997</v>
      </c>
      <c r="D333" s="1363">
        <f>D330/D331</f>
        <v>10.53095098507643</v>
      </c>
      <c r="E333" s="220" t="s">
        <v>2308</v>
      </c>
      <c r="F333" s="167"/>
      <c r="G333" s="1244"/>
      <c r="H333" s="431"/>
      <c r="J333" s="1194"/>
      <c r="K333"/>
    </row>
    <row r="334" spans="1:13" ht="15.75" customHeight="1">
      <c r="A334" s="414"/>
      <c r="B334" s="180" t="s">
        <v>2917</v>
      </c>
      <c r="C334" s="168" t="s">
        <v>997</v>
      </c>
      <c r="D334" s="1361">
        <f>D333*3261600</f>
        <v>34347749.732925281</v>
      </c>
      <c r="E334" s="220" t="s">
        <v>948</v>
      </c>
      <c r="F334" s="166"/>
      <c r="G334" s="226" t="s">
        <v>1647</v>
      </c>
      <c r="H334" s="412"/>
      <c r="J334" s="1298"/>
    </row>
    <row r="335" spans="1:13" ht="13.2" customHeight="1">
      <c r="A335" s="389"/>
      <c r="B335" s="470" t="s">
        <v>2918</v>
      </c>
      <c r="C335" s="449"/>
      <c r="D335" s="450"/>
      <c r="E335" s="451"/>
      <c r="F335" s="449"/>
      <c r="G335" s="1260" t="s">
        <v>1650</v>
      </c>
      <c r="H335" s="1250"/>
    </row>
    <row r="336" spans="1:13" ht="16.2" customHeight="1">
      <c r="A336" s="485"/>
      <c r="B336" s="2236" t="s">
        <v>2427</v>
      </c>
      <c r="C336" s="420"/>
      <c r="D336" s="404"/>
      <c r="E336" s="421"/>
      <c r="F336" s="420"/>
      <c r="G336" s="599"/>
      <c r="H336" s="1871" t="s">
        <v>345</v>
      </c>
      <c r="J336" s="1194"/>
    </row>
    <row r="337" spans="1:12" ht="13.8" customHeight="1">
      <c r="A337" s="414"/>
      <c r="B337" s="2237" t="s">
        <v>2655</v>
      </c>
      <c r="C337" s="2052" t="s">
        <v>2573</v>
      </c>
      <c r="D337" s="1771"/>
      <c r="E337" s="1551"/>
      <c r="F337" s="1555"/>
      <c r="G337" s="1117"/>
      <c r="H337" s="412"/>
      <c r="J337" s="1183"/>
    </row>
    <row r="338" spans="1:12" ht="13.2" customHeight="1">
      <c r="A338" s="414"/>
      <c r="B338" s="1912" t="s">
        <v>2409</v>
      </c>
      <c r="C338" s="167"/>
      <c r="D338" s="225"/>
      <c r="E338" s="173"/>
      <c r="F338" s="167"/>
      <c r="G338" s="205"/>
      <c r="H338" s="412"/>
      <c r="I338" s="853"/>
      <c r="J338" s="1194"/>
      <c r="K338" s="627"/>
    </row>
    <row r="339" spans="1:12" ht="14.4" customHeight="1">
      <c r="A339" s="414"/>
      <c r="B339" s="1551" t="s">
        <v>2412</v>
      </c>
      <c r="C339" s="167"/>
      <c r="D339" s="225"/>
      <c r="E339" s="173"/>
      <c r="F339" s="167"/>
      <c r="G339" s="205"/>
      <c r="H339" s="412"/>
      <c r="J339" s="2064"/>
      <c r="K339" s="2063"/>
    </row>
    <row r="340" spans="1:12" ht="14.4" customHeight="1">
      <c r="A340" s="414"/>
      <c r="B340" s="1771" t="s">
        <v>2414</v>
      </c>
      <c r="C340" s="167"/>
      <c r="D340" s="225"/>
      <c r="E340" s="173"/>
      <c r="F340" s="167"/>
      <c r="G340" s="175"/>
      <c r="H340" s="412"/>
      <c r="K340"/>
    </row>
    <row r="341" spans="1:12" ht="14.4" customHeight="1">
      <c r="A341" s="414"/>
      <c r="B341" s="1551" t="s">
        <v>2413</v>
      </c>
      <c r="C341" s="167"/>
      <c r="D341" s="225"/>
      <c r="E341" s="173"/>
      <c r="F341" s="167"/>
      <c r="G341" s="175"/>
      <c r="H341" s="412"/>
      <c r="J341" s="2064"/>
      <c r="K341" s="2231"/>
    </row>
    <row r="342" spans="1:12" ht="16.5" customHeight="1">
      <c r="A342" s="414"/>
      <c r="B342" s="1551" t="s">
        <v>353</v>
      </c>
      <c r="C342" s="167"/>
      <c r="D342" s="225"/>
      <c r="E342" s="173"/>
      <c r="F342" s="167"/>
      <c r="G342" s="205"/>
      <c r="H342" s="412"/>
      <c r="J342" s="1183"/>
      <c r="K342"/>
    </row>
    <row r="343" spans="1:12" ht="15.6" customHeight="1">
      <c r="A343" s="414"/>
      <c r="B343" s="1771" t="s">
        <v>2563</v>
      </c>
      <c r="C343" s="167"/>
      <c r="D343" s="225"/>
      <c r="E343" s="173"/>
      <c r="F343" s="167"/>
      <c r="G343" s="205"/>
      <c r="H343" s="412"/>
      <c r="J343" s="2064"/>
      <c r="K343"/>
    </row>
    <row r="344" spans="1:12" ht="16.5" customHeight="1">
      <c r="A344" s="414"/>
      <c r="B344" s="178" t="s">
        <v>2415</v>
      </c>
      <c r="C344" s="167"/>
      <c r="D344" s="225"/>
      <c r="E344" s="173"/>
      <c r="F344" s="167"/>
      <c r="G344" s="205"/>
      <c r="H344" s="412"/>
      <c r="J344" s="1194"/>
    </row>
    <row r="345" spans="1:12" ht="19.8" customHeight="1">
      <c r="A345" s="414"/>
      <c r="B345" s="593" t="s">
        <v>2670</v>
      </c>
      <c r="C345" s="167"/>
      <c r="D345" s="225"/>
      <c r="E345" s="173"/>
      <c r="F345" s="167"/>
      <c r="G345" s="205"/>
      <c r="H345" s="412"/>
      <c r="J345" s="1183"/>
      <c r="K345"/>
    </row>
    <row r="346" spans="1:12" s="592" customFormat="1" ht="18.600000000000001" customHeight="1">
      <c r="A346" s="905"/>
      <c r="B346" s="1220" t="s">
        <v>2416</v>
      </c>
      <c r="C346" s="1555"/>
      <c r="D346" s="2087"/>
      <c r="E346" s="1551"/>
      <c r="F346" s="1555"/>
      <c r="G346" s="1170"/>
      <c r="H346" s="1171"/>
      <c r="I346" s="591"/>
      <c r="J346" s="1285"/>
      <c r="K346"/>
      <c r="L346" s="2088"/>
    </row>
    <row r="347" spans="1:12" ht="17.399999999999999" customHeight="1">
      <c r="A347" s="414"/>
      <c r="B347" s="2230" t="s">
        <v>2562</v>
      </c>
      <c r="C347" s="167"/>
      <c r="D347" s="231"/>
      <c r="E347" s="173"/>
      <c r="F347" s="167"/>
      <c r="G347" s="205"/>
      <c r="H347" s="412"/>
      <c r="J347" s="2085"/>
      <c r="K347" s="2065"/>
    </row>
    <row r="348" spans="1:12" ht="17.399999999999999" customHeight="1">
      <c r="A348" s="414"/>
      <c r="B348" s="180" t="s">
        <v>1945</v>
      </c>
      <c r="C348" s="107"/>
      <c r="D348" s="1861" t="s">
        <v>430</v>
      </c>
      <c r="E348" s="173"/>
      <c r="F348" s="167"/>
      <c r="G348" s="691"/>
      <c r="H348" s="412"/>
      <c r="J348" s="1529"/>
    </row>
    <row r="349" spans="1:12" ht="13.8" customHeight="1">
      <c r="A349" s="414"/>
      <c r="C349" s="107"/>
      <c r="D349" s="107"/>
      <c r="E349" s="193"/>
      <c r="F349" s="167"/>
      <c r="G349" s="691"/>
      <c r="H349" s="412"/>
      <c r="J349" s="1524"/>
      <c r="K349"/>
    </row>
    <row r="350" spans="1:12" ht="14.4" customHeight="1">
      <c r="A350" s="414"/>
      <c r="B350" s="219" t="s">
        <v>2687</v>
      </c>
      <c r="C350" s="168"/>
      <c r="D350" s="233" t="s">
        <v>4</v>
      </c>
      <c r="E350" s="220"/>
      <c r="F350" s="167"/>
      <c r="G350" s="1225"/>
      <c r="H350" s="412"/>
    </row>
    <row r="351" spans="1:12" ht="16.5" customHeight="1">
      <c r="A351" s="414"/>
      <c r="B351" s="1411" t="s">
        <v>2688</v>
      </c>
      <c r="C351" s="168" t="s">
        <v>203</v>
      </c>
      <c r="D351" s="1354">
        <f>SQRT((D31*D9)/(4*PI()*D30))</f>
        <v>1.5389736904254436E-8</v>
      </c>
      <c r="E351" s="220" t="s">
        <v>680</v>
      </c>
      <c r="F351" s="167"/>
      <c r="G351" s="1245" t="s">
        <v>1203</v>
      </c>
      <c r="H351" s="412"/>
    </row>
    <row r="352" spans="1:12" ht="16.5" customHeight="1">
      <c r="A352" s="414"/>
      <c r="B352" s="2067" t="s">
        <v>1931</v>
      </c>
      <c r="C352" s="168"/>
      <c r="D352" s="1360">
        <v>2.18E-8</v>
      </c>
      <c r="E352" s="2306" t="s">
        <v>2647</v>
      </c>
      <c r="F352" s="167"/>
      <c r="G352" s="81"/>
      <c r="H352" s="412"/>
    </row>
    <row r="353" spans="1:13" ht="14.4" customHeight="1">
      <c r="A353" s="414"/>
      <c r="B353" s="193" t="s">
        <v>2188</v>
      </c>
      <c r="C353" s="168"/>
      <c r="D353" s="233"/>
      <c r="E353" s="220"/>
      <c r="F353" s="167"/>
      <c r="G353" s="185"/>
      <c r="H353" s="412"/>
    </row>
    <row r="354" spans="1:13" ht="16.5" customHeight="1">
      <c r="A354" s="414"/>
      <c r="B354" s="1411" t="s">
        <v>1946</v>
      </c>
      <c r="C354" s="168" t="s">
        <v>204</v>
      </c>
      <c r="D354" s="1361">
        <f>(2*D30*D351)/POWER(D9,2)</f>
        <v>2.2857262010755781E-35</v>
      </c>
      <c r="E354" s="220" t="s">
        <v>681</v>
      </c>
      <c r="F354" s="167"/>
      <c r="G354" s="1225"/>
      <c r="H354" s="412"/>
    </row>
    <row r="355" spans="1:13" ht="16.5" customHeight="1">
      <c r="A355" s="414"/>
      <c r="B355" s="2067" t="s">
        <v>901</v>
      </c>
      <c r="C355" s="168"/>
      <c r="D355" s="1362">
        <v>1.6200000000000001E-35</v>
      </c>
      <c r="E355" s="2307" t="s">
        <v>2648</v>
      </c>
      <c r="F355" s="167"/>
      <c r="G355" s="81"/>
      <c r="H355" s="412"/>
    </row>
    <row r="356" spans="1:13" s="592" customFormat="1" ht="16.2" customHeight="1">
      <c r="A356" s="905"/>
      <c r="B356" s="2074" t="s">
        <v>2399</v>
      </c>
      <c r="C356" s="1122"/>
      <c r="D356" s="2077"/>
      <c r="E356" s="2078"/>
      <c r="F356" s="1555"/>
      <c r="G356" s="2079"/>
      <c r="H356" s="1171"/>
      <c r="I356" s="591"/>
      <c r="J356" s="1285"/>
      <c r="K356" s="703"/>
      <c r="L356" s="78"/>
    </row>
    <row r="357" spans="1:13" ht="16.5" customHeight="1">
      <c r="A357" s="414"/>
      <c r="B357" s="167" t="s">
        <v>2650</v>
      </c>
      <c r="C357" s="168"/>
      <c r="D357" s="233"/>
      <c r="E357" s="220"/>
      <c r="F357" s="167"/>
      <c r="G357" s="185"/>
      <c r="H357" s="412"/>
      <c r="K357"/>
    </row>
    <row r="358" spans="1:13" ht="14.4" customHeight="1">
      <c r="A358" s="414"/>
      <c r="B358" s="1117" t="s">
        <v>1947</v>
      </c>
      <c r="C358" s="168" t="s">
        <v>205</v>
      </c>
      <c r="D358" s="1354">
        <f>D354/(D9)</f>
        <v>7.6243619136878253E-44</v>
      </c>
      <c r="E358" s="220" t="s">
        <v>1112</v>
      </c>
      <c r="F358" s="167"/>
      <c r="G358" s="80"/>
      <c r="H358" s="412"/>
      <c r="K358"/>
    </row>
    <row r="359" spans="1:13" ht="16.5" customHeight="1">
      <c r="A359" s="414"/>
      <c r="B359" s="1550" t="s">
        <v>1928</v>
      </c>
      <c r="C359" s="168"/>
      <c r="D359" s="1360">
        <v>5.3999999999999998E-44</v>
      </c>
      <c r="E359" s="2306" t="s">
        <v>2647</v>
      </c>
      <c r="F359" s="167"/>
      <c r="G359" s="81"/>
      <c r="H359" s="412"/>
      <c r="I359" s="849"/>
      <c r="K359" s="704"/>
    </row>
    <row r="360" spans="1:13" ht="16.2" customHeight="1">
      <c r="A360" s="414"/>
      <c r="B360" s="2074" t="s">
        <v>2400</v>
      </c>
      <c r="C360" s="168"/>
      <c r="D360" s="225"/>
      <c r="E360" s="220"/>
      <c r="F360" s="166"/>
      <c r="G360" s="175"/>
      <c r="H360" s="412"/>
      <c r="M360" s="3"/>
    </row>
    <row r="361" spans="1:13" ht="17.399999999999999" customHeight="1">
      <c r="A361" s="414"/>
      <c r="B361" s="167" t="s">
        <v>2410</v>
      </c>
      <c r="C361" s="168"/>
      <c r="D361" s="233"/>
      <c r="E361" s="220"/>
      <c r="F361" s="167"/>
      <c r="G361" s="1225"/>
      <c r="H361" s="412"/>
      <c r="J361" s="1524"/>
    </row>
    <row r="362" spans="1:13" ht="16.8" customHeight="1">
      <c r="A362" s="414"/>
      <c r="B362" s="407" t="s">
        <v>2689</v>
      </c>
      <c r="C362" s="168" t="s">
        <v>48</v>
      </c>
      <c r="D362" s="1354">
        <f>D351/((4/3)*PI()*POWER(D354,3))</f>
        <v>3.0765924241696387E+95</v>
      </c>
      <c r="E362" s="220" t="s">
        <v>2300</v>
      </c>
      <c r="F362" s="167"/>
      <c r="G362" s="97"/>
      <c r="H362" s="412"/>
    </row>
    <row r="363" spans="1:13" ht="16.5" customHeight="1">
      <c r="A363" s="414"/>
      <c r="B363" s="2232" t="s">
        <v>2403</v>
      </c>
      <c r="C363" s="200"/>
      <c r="D363" s="2305"/>
      <c r="E363" s="173"/>
      <c r="F363" s="167"/>
      <c r="G363" s="175"/>
      <c r="H363" s="412"/>
    </row>
    <row r="364" spans="1:13" s="53" customFormat="1" ht="15.6" customHeight="1">
      <c r="A364" s="333"/>
      <c r="B364" s="2068" t="s">
        <v>2404</v>
      </c>
      <c r="C364" s="2069" t="s">
        <v>2396</v>
      </c>
      <c r="D364" s="1361">
        <f>D351*POWER(D9,2)</f>
        <v>1383160576.9804931</v>
      </c>
      <c r="E364" s="3" t="s">
        <v>2398</v>
      </c>
      <c r="F364" s="126"/>
      <c r="G364" s="2070"/>
      <c r="H364" s="409"/>
      <c r="I364" s="1318"/>
      <c r="J364" s="1530"/>
      <c r="L364" s="70"/>
    </row>
    <row r="365" spans="1:13" s="53" customFormat="1" ht="16.2" customHeight="1">
      <c r="A365" s="333"/>
      <c r="B365" s="2075" t="s">
        <v>2401</v>
      </c>
      <c r="C365" s="126"/>
      <c r="D365" s="2311">
        <v>2000000000</v>
      </c>
      <c r="E365" s="2312" t="s">
        <v>2647</v>
      </c>
      <c r="F365" s="126"/>
      <c r="G365" s="126"/>
      <c r="H365" s="409"/>
      <c r="I365" s="82"/>
      <c r="L365" s="70"/>
    </row>
    <row r="366" spans="1:13" s="53" customFormat="1" ht="15.6" customHeight="1">
      <c r="A366" s="333"/>
      <c r="B366" s="2071" t="s">
        <v>2402</v>
      </c>
      <c r="C366" s="660" t="s">
        <v>2397</v>
      </c>
      <c r="D366" s="1354">
        <f>D364/D32</f>
        <v>1.0015645017961573E+32</v>
      </c>
      <c r="E366" s="468" t="s">
        <v>1013</v>
      </c>
      <c r="F366" s="1001"/>
      <c r="G366" s="2072"/>
      <c r="H366" s="409"/>
      <c r="I366" s="82"/>
      <c r="K366"/>
      <c r="L366" s="70"/>
    </row>
    <row r="367" spans="1:13" s="53" customFormat="1" ht="14.4" customHeight="1">
      <c r="A367" s="333"/>
      <c r="B367" s="2076" t="s">
        <v>2864</v>
      </c>
      <c r="C367" s="126"/>
      <c r="D367" s="2308">
        <v>1.4E+32</v>
      </c>
      <c r="E367" s="2309" t="s">
        <v>2647</v>
      </c>
      <c r="F367" s="126"/>
      <c r="G367" s="2073"/>
      <c r="H367" s="409"/>
      <c r="I367" s="82"/>
      <c r="K367" s="1319"/>
      <c r="L367" s="70"/>
      <c r="M367" s="1320"/>
    </row>
    <row r="368" spans="1:13" s="53" customFormat="1" ht="15" customHeight="1">
      <c r="A368" s="333"/>
      <c r="B368" s="2080" t="s">
        <v>2690</v>
      </c>
      <c r="C368" s="2089" t="s">
        <v>54</v>
      </c>
      <c r="D368" s="229" t="s">
        <v>2867</v>
      </c>
      <c r="E368" s="180"/>
      <c r="F368" s="473"/>
      <c r="G368" s="2090"/>
      <c r="H368" s="409"/>
      <c r="I368" s="82"/>
      <c r="K368"/>
      <c r="L368" s="70"/>
      <c r="M368" s="1320"/>
    </row>
    <row r="369" spans="1:16" s="53" customFormat="1" ht="15" customHeight="1">
      <c r="A369" s="333"/>
      <c r="B369" s="1969" t="s">
        <v>2691</v>
      </c>
      <c r="C369" s="2091"/>
      <c r="D369" s="229" t="s">
        <v>2498</v>
      </c>
      <c r="E369" s="180"/>
      <c r="F369" s="473"/>
      <c r="G369" s="229"/>
      <c r="H369" s="409"/>
      <c r="I369" s="82"/>
      <c r="K369"/>
      <c r="L369" s="70"/>
      <c r="M369" s="1320"/>
    </row>
    <row r="370" spans="1:16" s="53" customFormat="1" ht="15" customHeight="1">
      <c r="A370" s="333"/>
      <c r="B370" s="1970" t="s">
        <v>2903</v>
      </c>
      <c r="C370" s="2150"/>
      <c r="D370" s="2310" t="s">
        <v>2499</v>
      </c>
      <c r="E370" s="2151"/>
      <c r="F370" s="2152"/>
      <c r="G370" s="1297"/>
      <c r="H370" s="409"/>
      <c r="I370" s="82"/>
      <c r="K370" s="1319"/>
      <c r="L370" s="70"/>
      <c r="M370" s="1320"/>
    </row>
    <row r="371" spans="1:16" s="53" customFormat="1" ht="7.8" customHeight="1">
      <c r="A371" s="1383"/>
      <c r="B371" s="2066"/>
      <c r="C371" s="1389"/>
      <c r="D371" s="1385"/>
      <c r="E371" s="1386"/>
      <c r="F371" s="1384"/>
      <c r="G371" s="2153"/>
      <c r="H371" s="1387"/>
      <c r="I371" s="82"/>
      <c r="K371" s="1319"/>
      <c r="L371" s="70"/>
      <c r="M371" s="1320"/>
    </row>
    <row r="372" spans="1:16" ht="15.6" customHeight="1">
      <c r="A372" s="1538"/>
      <c r="B372" s="672"/>
      <c r="C372" s="403"/>
      <c r="D372" s="404"/>
      <c r="E372" s="405"/>
      <c r="F372" s="403"/>
      <c r="G372" s="1533"/>
      <c r="H372" s="1871" t="s">
        <v>344</v>
      </c>
      <c r="M372" s="894"/>
    </row>
    <row r="373" spans="1:16" ht="13.2" customHeight="1">
      <c r="A373" s="1539"/>
      <c r="B373" s="2391" t="s">
        <v>2865</v>
      </c>
      <c r="C373" s="166"/>
      <c r="D373" s="1541"/>
      <c r="E373" s="1542"/>
      <c r="F373" s="1543"/>
      <c r="G373" s="2382" t="s">
        <v>2198</v>
      </c>
      <c r="H373" s="412"/>
      <c r="M373" s="1188"/>
    </row>
    <row r="374" spans="1:16" ht="13.2" customHeight="1">
      <c r="A374" s="1539"/>
      <c r="B374" s="2390" t="s">
        <v>2863</v>
      </c>
      <c r="C374" s="166"/>
      <c r="D374" s="1541"/>
      <c r="E374" s="1542"/>
      <c r="F374" s="1543"/>
      <c r="G374" s="2076" t="s">
        <v>1093</v>
      </c>
      <c r="H374" s="412"/>
      <c r="M374" s="1189"/>
    </row>
    <row r="375" spans="1:16" ht="15.6" customHeight="1">
      <c r="A375" s="1544"/>
      <c r="B375" s="1952" t="s">
        <v>2854</v>
      </c>
      <c r="D375" s="1999"/>
      <c r="E375" s="1542"/>
      <c r="F375" s="1543"/>
      <c r="G375" s="1545"/>
      <c r="H375" s="412"/>
      <c r="J375" s="1194"/>
      <c r="K375"/>
      <c r="M375" s="43"/>
    </row>
    <row r="376" spans="1:16" s="592" customFormat="1" ht="14.4" customHeight="1">
      <c r="A376" s="1955"/>
      <c r="B376" s="2380" t="s">
        <v>2682</v>
      </c>
      <c r="C376" s="2381"/>
      <c r="D376" s="2267"/>
      <c r="E376" s="2326"/>
      <c r="F376" s="1956"/>
      <c r="G376" s="2316" t="s">
        <v>2196</v>
      </c>
      <c r="H376" s="1957"/>
      <c r="I376" s="591"/>
      <c r="J376" s="1958"/>
      <c r="K376" s="703"/>
      <c r="L376" s="78"/>
    </row>
    <row r="377" spans="1:16" ht="15.6" customHeight="1">
      <c r="A377" s="1539"/>
      <c r="B377" s="2412" t="s">
        <v>2855</v>
      </c>
      <c r="C377" s="2413"/>
      <c r="D377" s="2414"/>
      <c r="E377" s="2415"/>
      <c r="F377" s="167"/>
      <c r="G377" s="1951" t="s">
        <v>1925</v>
      </c>
      <c r="H377" s="944"/>
      <c r="I377" s="2378"/>
      <c r="L377" s="626"/>
      <c r="M377" s="4"/>
    </row>
    <row r="378" spans="1:16" ht="15.75" customHeight="1">
      <c r="A378" s="1539"/>
      <c r="B378" s="2416" t="s">
        <v>52</v>
      </c>
      <c r="C378" s="2417" t="s">
        <v>1397</v>
      </c>
      <c r="D378" s="2417"/>
      <c r="E378" s="2111"/>
      <c r="G378" s="175"/>
      <c r="H378" s="412"/>
      <c r="L378" s="85"/>
      <c r="M378" s="86"/>
    </row>
    <row r="379" spans="1:16" ht="15.75" customHeight="1">
      <c r="A379" s="1539"/>
      <c r="B379" s="2416" t="s">
        <v>2678</v>
      </c>
      <c r="C379" s="2418" t="s">
        <v>1659</v>
      </c>
      <c r="D379" s="2419"/>
      <c r="E379" s="2420"/>
      <c r="F379" s="167"/>
      <c r="G379" s="1952" t="s">
        <v>2197</v>
      </c>
      <c r="H379" s="412"/>
      <c r="J379" s="1522"/>
      <c r="K379" s="627"/>
    </row>
    <row r="380" spans="1:16" ht="15.75" customHeight="1">
      <c r="A380" s="1539"/>
      <c r="B380" s="2422" t="s">
        <v>15</v>
      </c>
      <c r="C380" s="2423" t="s">
        <v>1398</v>
      </c>
      <c r="D380" s="2423"/>
      <c r="E380" s="2424"/>
      <c r="F380" s="167"/>
      <c r="G380" s="1959" t="s">
        <v>855</v>
      </c>
      <c r="H380" s="412"/>
    </row>
    <row r="381" spans="1:16" ht="15.75" customHeight="1">
      <c r="A381" s="1539"/>
      <c r="B381" s="2422" t="s">
        <v>381</v>
      </c>
      <c r="C381" s="2423" t="s">
        <v>2930</v>
      </c>
      <c r="D381" s="2423"/>
      <c r="E381" s="2424"/>
      <c r="F381" s="166"/>
      <c r="G381" s="175"/>
      <c r="H381" s="412"/>
      <c r="L381" s="626"/>
      <c r="M381" s="4"/>
      <c r="N381" s="4"/>
      <c r="O381" s="4"/>
      <c r="P381" s="4"/>
    </row>
    <row r="382" spans="1:16" ht="15.75" customHeight="1">
      <c r="A382" s="1539"/>
      <c r="B382" s="2422" t="s">
        <v>380</v>
      </c>
      <c r="C382" s="2423" t="s">
        <v>2916</v>
      </c>
      <c r="D382" s="2423"/>
      <c r="E382" s="2424"/>
      <c r="F382" s="1299"/>
      <c r="G382" s="1960" t="s">
        <v>2677</v>
      </c>
      <c r="H382" s="1954"/>
      <c r="I382" s="1953"/>
      <c r="L382" s="626"/>
      <c r="M382" s="1190"/>
      <c r="N382" s="84"/>
      <c r="O382" s="1191"/>
      <c r="P382" s="1185"/>
    </row>
    <row r="383" spans="1:16" ht="14.4" customHeight="1">
      <c r="A383" s="1539"/>
      <c r="B383" s="2425" t="s">
        <v>53</v>
      </c>
      <c r="C383" s="2421" t="s">
        <v>1399</v>
      </c>
      <c r="D383" s="2421"/>
      <c r="E383" s="2426"/>
      <c r="F383" s="1543"/>
      <c r="G383" s="2321" t="s">
        <v>2676</v>
      </c>
      <c r="H383" s="412"/>
      <c r="K383" s="2"/>
      <c r="L383" s="626"/>
      <c r="M383" s="4"/>
      <c r="N383" s="4"/>
      <c r="O383" s="4"/>
      <c r="P383" s="4"/>
    </row>
    <row r="384" spans="1:16" s="941" customFormat="1" ht="13.8" customHeight="1">
      <c r="A384" s="1546"/>
      <c r="B384" s="1952" t="s">
        <v>2850</v>
      </c>
      <c r="C384" s="166"/>
      <c r="D384" s="1966"/>
      <c r="E384" s="1542"/>
      <c r="F384" s="6"/>
      <c r="G384" s="2267"/>
      <c r="H384" s="944"/>
      <c r="I384" s="945"/>
      <c r="J384" s="1287"/>
      <c r="K384" s="19"/>
      <c r="L384" s="22"/>
    </row>
    <row r="385" spans="1:12" s="592" customFormat="1" ht="14.4" customHeight="1">
      <c r="A385" s="1955"/>
      <c r="B385" s="2325" t="s">
        <v>2849</v>
      </c>
      <c r="C385" s="1961"/>
      <c r="D385" s="1961"/>
      <c r="E385" s="1962"/>
      <c r="F385" s="1963"/>
      <c r="G385" s="1960" t="s">
        <v>2853</v>
      </c>
      <c r="H385" s="1171"/>
      <c r="I385" s="591"/>
      <c r="J385" s="1964"/>
      <c r="K385" s="1965"/>
      <c r="L385" s="78"/>
    </row>
    <row r="386" spans="1:12" ht="15" customHeight="1">
      <c r="A386" s="414"/>
      <c r="B386" s="2212" t="s">
        <v>2199</v>
      </c>
      <c r="C386" s="211"/>
      <c r="D386" s="225"/>
      <c r="E386" s="416"/>
      <c r="F386" s="1537"/>
      <c r="G386" s="2379" t="s">
        <v>2852</v>
      </c>
      <c r="H386" s="412"/>
      <c r="J386" s="1149"/>
      <c r="K386"/>
    </row>
    <row r="387" spans="1:12" ht="15.6" customHeight="1">
      <c r="A387" s="414"/>
      <c r="B387" s="1388" t="s">
        <v>2200</v>
      </c>
      <c r="C387" s="211"/>
      <c r="D387" s="225"/>
      <c r="E387" s="173"/>
      <c r="F387" s="167"/>
      <c r="H387" s="412"/>
      <c r="K387" s="699"/>
    </row>
    <row r="388" spans="1:12" ht="15" customHeight="1">
      <c r="A388" s="414"/>
      <c r="B388" s="593" t="s">
        <v>2632</v>
      </c>
      <c r="C388" s="211"/>
      <c r="D388" s="225"/>
      <c r="E388" s="173"/>
      <c r="F388" s="167"/>
      <c r="G388" s="175"/>
      <c r="H388" s="412"/>
      <c r="K388" s="699"/>
    </row>
    <row r="389" spans="1:12" ht="15" customHeight="1">
      <c r="A389" s="414"/>
      <c r="B389" s="593" t="s">
        <v>2405</v>
      </c>
      <c r="C389" s="211"/>
      <c r="D389" s="225"/>
      <c r="E389" s="173"/>
      <c r="F389" s="1299"/>
      <c r="G389" s="175"/>
      <c r="H389" s="412"/>
    </row>
    <row r="390" spans="1:12" ht="14.4" customHeight="1">
      <c r="A390" s="414"/>
      <c r="B390" s="593" t="s">
        <v>2201</v>
      </c>
      <c r="C390" s="211"/>
      <c r="D390" s="225"/>
      <c r="E390" s="173"/>
      <c r="F390" s="1299"/>
      <c r="G390" s="175"/>
      <c r="H390" s="412"/>
      <c r="K390"/>
    </row>
    <row r="391" spans="1:12" ht="14.4" customHeight="1">
      <c r="A391" s="414"/>
      <c r="B391" s="593" t="s">
        <v>2202</v>
      </c>
      <c r="C391" s="211"/>
      <c r="D391" s="225"/>
      <c r="E391" s="173"/>
      <c r="F391" s="1299"/>
      <c r="G391" s="175"/>
      <c r="H391" s="412"/>
      <c r="J391" s="1"/>
      <c r="K391"/>
    </row>
    <row r="392" spans="1:12" ht="14.4" customHeight="1">
      <c r="A392" s="414"/>
      <c r="B392" s="1907" t="s">
        <v>2163</v>
      </c>
      <c r="C392" s="176"/>
      <c r="D392" s="178"/>
      <c r="E392" s="173"/>
      <c r="F392" s="1299"/>
      <c r="G392" s="175"/>
      <c r="H392" s="412"/>
      <c r="K392"/>
    </row>
    <row r="393" spans="1:12" ht="14.4" customHeight="1">
      <c r="A393" s="414"/>
      <c r="B393" s="662" t="s">
        <v>2651</v>
      </c>
      <c r="C393" s="176"/>
      <c r="D393" s="347"/>
      <c r="E393" s="173"/>
      <c r="F393" s="232" t="s">
        <v>2252</v>
      </c>
      <c r="G393" s="27"/>
      <c r="H393" s="412"/>
      <c r="J393" s="1"/>
      <c r="K393"/>
      <c r="L393"/>
    </row>
    <row r="394" spans="1:12" ht="14.4" customHeight="1">
      <c r="A394" s="414"/>
      <c r="B394" s="593" t="s">
        <v>2251</v>
      </c>
      <c r="C394" s="211"/>
      <c r="D394" s="225"/>
      <c r="E394" s="1173"/>
      <c r="F394" s="237" t="s">
        <v>2372</v>
      </c>
      <c r="G394" s="677"/>
      <c r="H394" s="412"/>
      <c r="K394"/>
    </row>
    <row r="395" spans="1:12" ht="15" customHeight="1">
      <c r="A395" s="414"/>
      <c r="B395" s="593" t="s">
        <v>2208</v>
      </c>
      <c r="C395" s="211"/>
      <c r="D395" s="225"/>
      <c r="E395" s="173"/>
      <c r="F395" s="1532" t="s">
        <v>2369</v>
      </c>
      <c r="G395" s="677"/>
      <c r="H395" s="412"/>
      <c r="J395" s="1172"/>
    </row>
    <row r="396" spans="1:12" ht="15.75" customHeight="1">
      <c r="A396" s="414"/>
      <c r="B396" s="664" t="s">
        <v>2250</v>
      </c>
      <c r="C396" s="211"/>
      <c r="D396" s="225"/>
      <c r="E396" s="173"/>
      <c r="F396" s="167"/>
      <c r="G396" s="27"/>
      <c r="H396" s="412"/>
      <c r="K396"/>
    </row>
    <row r="397" spans="1:12" ht="14.4" customHeight="1">
      <c r="A397" s="414"/>
      <c r="B397" s="664" t="s">
        <v>2249</v>
      </c>
      <c r="C397" s="166"/>
      <c r="D397" s="172"/>
      <c r="E397" s="238"/>
      <c r="F397" s="166"/>
      <c r="G397" s="107"/>
      <c r="H397" s="412"/>
      <c r="K397"/>
    </row>
    <row r="398" spans="1:12" ht="14.4" customHeight="1">
      <c r="A398" s="414"/>
      <c r="B398" s="593" t="s">
        <v>2219</v>
      </c>
      <c r="C398" s="166"/>
      <c r="D398" s="172"/>
      <c r="E398" s="238"/>
      <c r="F398" s="166"/>
      <c r="G398" s="175"/>
      <c r="H398" s="412"/>
      <c r="K398"/>
    </row>
    <row r="399" spans="1:12" s="592" customFormat="1" ht="14.4" customHeight="1">
      <c r="A399" s="905"/>
      <c r="B399" s="593" t="s">
        <v>2209</v>
      </c>
      <c r="C399" s="1167"/>
      <c r="D399" s="1168"/>
      <c r="E399" s="1169"/>
      <c r="F399" s="1167"/>
      <c r="G399" s="175"/>
      <c r="H399" s="1171"/>
      <c r="I399" s="591"/>
      <c r="J399" s="1285"/>
      <c r="K399" s="703"/>
      <c r="L399" s="78"/>
    </row>
    <row r="400" spans="1:12" ht="14.4" customHeight="1">
      <c r="A400" s="414"/>
      <c r="B400" s="593" t="s">
        <v>2210</v>
      </c>
      <c r="C400" s="166"/>
      <c r="D400" s="172"/>
      <c r="E400" s="238"/>
      <c r="F400" s="166"/>
      <c r="G400" s="1170"/>
      <c r="H400" s="412"/>
    </row>
    <row r="401" spans="1:11" ht="14.4" customHeight="1">
      <c r="A401" s="414"/>
      <c r="B401" s="593" t="s">
        <v>2211</v>
      </c>
      <c r="C401" s="166"/>
      <c r="D401" s="172"/>
      <c r="E401" s="238"/>
      <c r="F401" s="1299"/>
      <c r="G401" s="691"/>
      <c r="H401" s="412"/>
      <c r="J401" s="1172"/>
    </row>
    <row r="402" spans="1:11" ht="14.4" customHeight="1">
      <c r="A402" s="414"/>
      <c r="B402" s="662" t="s">
        <v>2866</v>
      </c>
      <c r="C402" s="166"/>
      <c r="D402" s="172"/>
      <c r="E402" s="238"/>
      <c r="F402" s="1851" t="s">
        <v>2203</v>
      </c>
      <c r="G402" s="1863"/>
      <c r="H402" s="412"/>
    </row>
    <row r="403" spans="1:11" ht="14.4" customHeight="1">
      <c r="A403" s="414"/>
      <c r="B403" s="662" t="s">
        <v>2212</v>
      </c>
      <c r="C403" s="166"/>
      <c r="D403" s="172"/>
      <c r="E403" s="238"/>
      <c r="F403" s="125" t="s">
        <v>2649</v>
      </c>
      <c r="G403" s="27"/>
      <c r="H403" s="412"/>
    </row>
    <row r="404" spans="1:11" ht="14.4" customHeight="1">
      <c r="A404" s="414"/>
      <c r="B404" s="343" t="s">
        <v>2715</v>
      </c>
      <c r="C404" s="166"/>
      <c r="D404" s="172"/>
      <c r="E404" s="416"/>
      <c r="F404" s="189" t="s">
        <v>756</v>
      </c>
      <c r="G404" s="178"/>
      <c r="H404" s="412"/>
      <c r="K404"/>
    </row>
    <row r="405" spans="1:11" ht="14.4" customHeight="1">
      <c r="A405" s="414"/>
      <c r="B405" s="343" t="s">
        <v>2671</v>
      </c>
      <c r="C405" s="166"/>
      <c r="D405" s="172"/>
      <c r="E405" s="416"/>
      <c r="F405" s="189" t="s">
        <v>757</v>
      </c>
      <c r="G405" s="178"/>
      <c r="H405" s="412"/>
      <c r="K405" s="22"/>
    </row>
    <row r="406" spans="1:11" ht="14.4" customHeight="1">
      <c r="A406" s="414"/>
      <c r="B406" s="1166" t="s">
        <v>2176</v>
      </c>
      <c r="C406" s="166"/>
      <c r="D406" s="172"/>
      <c r="E406" s="416"/>
      <c r="F406" s="1182" t="s">
        <v>1334</v>
      </c>
      <c r="G406" s="178"/>
      <c r="H406" s="412"/>
    </row>
    <row r="407" spans="1:11" ht="14.4" customHeight="1">
      <c r="A407" s="414"/>
      <c r="B407" s="343" t="s">
        <v>2177</v>
      </c>
      <c r="C407" s="167"/>
      <c r="D407" s="178"/>
      <c r="E407" s="416"/>
      <c r="F407" s="188" t="s">
        <v>1333</v>
      </c>
      <c r="G407" s="178"/>
      <c r="H407" s="412"/>
    </row>
    <row r="408" spans="1:11" ht="14.4" customHeight="1">
      <c r="A408" s="414"/>
      <c r="B408" s="1221" t="s">
        <v>2178</v>
      </c>
      <c r="C408" s="1178"/>
      <c r="D408" s="1179"/>
      <c r="E408" s="1177"/>
      <c r="F408" s="183" t="s">
        <v>1332</v>
      </c>
      <c r="G408" s="423"/>
      <c r="H408" s="412"/>
    </row>
    <row r="409" spans="1:11" ht="16.8" customHeight="1">
      <c r="A409" s="389"/>
      <c r="B409" s="1916" t="s">
        <v>2179</v>
      </c>
      <c r="C409" s="947"/>
      <c r="D409" s="1180"/>
      <c r="E409" s="946"/>
      <c r="F409" s="1181" t="s">
        <v>1539</v>
      </c>
      <c r="G409" s="680"/>
      <c r="H409" s="1250"/>
    </row>
    <row r="410" spans="1:11" ht="15.75" customHeight="1">
      <c r="A410" s="485"/>
      <c r="B410" s="422"/>
      <c r="C410" s="1870"/>
      <c r="D410" s="404"/>
      <c r="E410" s="405"/>
      <c r="F410" s="403"/>
      <c r="G410" s="422"/>
      <c r="H410" s="1871" t="s">
        <v>343</v>
      </c>
    </row>
    <row r="411" spans="1:11" ht="15.75" customHeight="1">
      <c r="A411" s="414"/>
      <c r="B411" s="1176" t="s">
        <v>2258</v>
      </c>
      <c r="C411" s="167"/>
      <c r="D411" s="172"/>
      <c r="E411" s="238"/>
      <c r="F411" s="166"/>
      <c r="G411" s="175"/>
      <c r="H411" s="412"/>
    </row>
    <row r="412" spans="1:11" ht="15.75" customHeight="1">
      <c r="A412" s="414"/>
      <c r="B412" s="211" t="s">
        <v>2253</v>
      </c>
      <c r="C412" s="167"/>
      <c r="D412" s="172"/>
      <c r="E412" s="238"/>
      <c r="F412" s="166"/>
      <c r="G412" s="175"/>
      <c r="H412" s="412"/>
    </row>
    <row r="413" spans="1:11" ht="15.75" customHeight="1">
      <c r="A413" s="414"/>
      <c r="B413" s="1771" t="s">
        <v>2254</v>
      </c>
      <c r="C413" s="167"/>
      <c r="D413" s="172"/>
      <c r="E413" s="238"/>
      <c r="F413" s="166"/>
      <c r="G413" s="175"/>
      <c r="H413" s="412"/>
    </row>
    <row r="414" spans="1:11" ht="15.75" customHeight="1">
      <c r="A414" s="414"/>
      <c r="B414" s="1771" t="s">
        <v>2256</v>
      </c>
      <c r="C414" s="167"/>
      <c r="D414" s="172"/>
      <c r="E414" s="238"/>
      <c r="F414" s="166"/>
      <c r="G414" s="175"/>
      <c r="H414" s="412"/>
    </row>
    <row r="415" spans="1:11" ht="15.75" customHeight="1">
      <c r="A415" s="414"/>
      <c r="B415" s="1771" t="s">
        <v>2255</v>
      </c>
      <c r="C415" s="167"/>
      <c r="D415" s="172"/>
      <c r="E415" s="238"/>
      <c r="F415" s="166"/>
      <c r="G415" s="175"/>
      <c r="H415" s="412"/>
    </row>
    <row r="416" spans="1:11" ht="15.75" customHeight="1">
      <c r="A416" s="414"/>
      <c r="B416" s="1771" t="s">
        <v>2257</v>
      </c>
      <c r="C416" s="167"/>
      <c r="D416" s="172"/>
      <c r="F416" s="166"/>
      <c r="G416" s="175"/>
      <c r="H416" s="412"/>
    </row>
    <row r="417" spans="1:12" ht="15.75" customHeight="1">
      <c r="A417" s="414"/>
      <c r="B417" s="202" t="s">
        <v>758</v>
      </c>
      <c r="C417" s="167"/>
      <c r="D417" s="172"/>
      <c r="E417" s="2113" t="s">
        <v>2451</v>
      </c>
      <c r="F417" s="166"/>
      <c r="G417" s="175"/>
      <c r="H417" s="412"/>
      <c r="K417" s="1403"/>
    </row>
    <row r="418" spans="1:12" ht="15.75" customHeight="1">
      <c r="A418" s="414"/>
      <c r="B418" s="1176" t="s">
        <v>2190</v>
      </c>
      <c r="C418" s="167"/>
      <c r="D418" s="172"/>
      <c r="E418" s="238"/>
      <c r="F418" s="166"/>
      <c r="G418" s="1911"/>
      <c r="H418" s="412"/>
    </row>
    <row r="419" spans="1:12" ht="13.8" customHeight="1">
      <c r="A419" s="414"/>
      <c r="B419" s="1176" t="s">
        <v>2191</v>
      </c>
      <c r="C419" s="167"/>
      <c r="D419" s="197" t="s">
        <v>2450</v>
      </c>
      <c r="E419" s="238"/>
      <c r="F419" s="2313"/>
      <c r="G419" s="2327" t="s">
        <v>2656</v>
      </c>
      <c r="H419" s="412"/>
    </row>
    <row r="420" spans="1:12" s="3" customFormat="1" ht="15" customHeight="1">
      <c r="A420" s="394"/>
      <c r="B420" s="183" t="s">
        <v>2448</v>
      </c>
      <c r="C420" s="167"/>
      <c r="D420" s="2249" t="s">
        <v>2449</v>
      </c>
      <c r="E420" s="2250" t="s">
        <v>2447</v>
      </c>
      <c r="F420" s="2106" t="s">
        <v>2452</v>
      </c>
      <c r="G420" s="2112"/>
      <c r="H420" s="1547"/>
      <c r="I420" s="626"/>
      <c r="J420" s="1147"/>
      <c r="K420" s="19"/>
    </row>
    <row r="421" spans="1:12" ht="15" customHeight="1">
      <c r="A421" s="414"/>
      <c r="B421" s="1548" t="s">
        <v>1941</v>
      </c>
      <c r="C421" s="176"/>
      <c r="D421" s="1531"/>
      <c r="E421" s="1270"/>
      <c r="F421" s="2107" t="s">
        <v>2672</v>
      </c>
      <c r="G421" s="2105"/>
      <c r="H421" s="412"/>
      <c r="K421" s="16"/>
    </row>
    <row r="422" spans="1:12" ht="15.75" customHeight="1">
      <c r="A422" s="414"/>
      <c r="B422" s="1548" t="s">
        <v>1942</v>
      </c>
      <c r="C422" s="176"/>
      <c r="D422" s="1531"/>
      <c r="E422" s="1270"/>
      <c r="F422" s="2107" t="s">
        <v>2673</v>
      </c>
      <c r="G422" s="2105"/>
      <c r="H422" s="412"/>
      <c r="K422"/>
    </row>
    <row r="423" spans="1:12" ht="15.75" customHeight="1">
      <c r="A423" s="414"/>
      <c r="B423" s="691"/>
      <c r="C423" s="176"/>
      <c r="D423" s="1531"/>
      <c r="E423" s="1270"/>
      <c r="F423" s="2106" t="s">
        <v>2683</v>
      </c>
      <c r="G423" s="2105"/>
      <c r="H423" s="412"/>
      <c r="K423" s="1120"/>
      <c r="L423" s="2317"/>
    </row>
    <row r="424" spans="1:12" ht="14.4" customHeight="1">
      <c r="A424" s="414"/>
      <c r="B424" s="691"/>
      <c r="C424" s="167"/>
      <c r="D424" s="227" t="s">
        <v>3</v>
      </c>
      <c r="E424" s="220"/>
      <c r="F424" s="2106" t="s">
        <v>2684</v>
      </c>
      <c r="G424" s="2111"/>
      <c r="H424" s="412"/>
      <c r="K424" s="2318"/>
      <c r="L424" s="86"/>
    </row>
    <row r="425" spans="1:12" ht="15.75" customHeight="1">
      <c r="A425" s="414"/>
      <c r="B425" s="191" t="s">
        <v>873</v>
      </c>
      <c r="C425" s="168" t="s">
        <v>64</v>
      </c>
      <c r="D425" s="267">
        <v>2188000</v>
      </c>
      <c r="E425" s="220" t="s">
        <v>1755</v>
      </c>
      <c r="F425" s="2106"/>
      <c r="G425" s="2328" t="s">
        <v>2685</v>
      </c>
      <c r="H425" s="412"/>
      <c r="K425" s="1120"/>
      <c r="L425" s="1120"/>
    </row>
    <row r="426" spans="1:12" ht="15.75" customHeight="1">
      <c r="A426" s="414"/>
      <c r="B426" s="191" t="s">
        <v>15</v>
      </c>
      <c r="C426" s="168" t="s">
        <v>55</v>
      </c>
      <c r="D426" s="267">
        <v>9.1100000000000003E-31</v>
      </c>
      <c r="E426" s="220" t="s">
        <v>680</v>
      </c>
      <c r="F426" s="2320"/>
      <c r="G426" s="2319" t="s">
        <v>2718</v>
      </c>
      <c r="H426" s="412"/>
    </row>
    <row r="427" spans="1:12" ht="15.75" customHeight="1">
      <c r="A427" s="414"/>
      <c r="C427" s="166"/>
      <c r="D427" s="172"/>
      <c r="E427" s="173"/>
      <c r="F427" s="1299"/>
      <c r="G427" s="691"/>
      <c r="H427" s="412"/>
      <c r="K427"/>
    </row>
    <row r="428" spans="1:12" ht="15.75" customHeight="1">
      <c r="A428" s="414"/>
      <c r="B428" s="675" t="s">
        <v>77</v>
      </c>
      <c r="C428" s="189" t="s">
        <v>1326</v>
      </c>
      <c r="D428" s="406"/>
      <c r="E428" s="173"/>
      <c r="F428" s="167"/>
      <c r="G428" s="175"/>
      <c r="H428" s="412"/>
      <c r="K428"/>
    </row>
    <row r="429" spans="1:12" ht="15.75" customHeight="1">
      <c r="A429" s="414"/>
      <c r="B429" s="675"/>
      <c r="C429" s="189" t="s">
        <v>2041</v>
      </c>
      <c r="D429" s="406"/>
      <c r="E429" s="173"/>
      <c r="F429" s="167"/>
      <c r="G429" s="175"/>
      <c r="H429" s="412"/>
      <c r="K429"/>
    </row>
    <row r="430" spans="1:12" ht="15.75" customHeight="1">
      <c r="A430" s="414"/>
      <c r="B430" s="408"/>
      <c r="C430" s="189" t="s">
        <v>1619</v>
      </c>
      <c r="D430" s="411"/>
      <c r="E430" s="238"/>
      <c r="F430" s="166"/>
      <c r="G430" s="175"/>
      <c r="H430" s="412"/>
      <c r="L430" s="19"/>
    </row>
    <row r="431" spans="1:12" ht="13.2" customHeight="1">
      <c r="A431" s="414"/>
      <c r="B431" s="675" t="s">
        <v>78</v>
      </c>
      <c r="C431" s="189" t="s">
        <v>1331</v>
      </c>
      <c r="D431" s="406"/>
      <c r="E431" s="173"/>
      <c r="F431" s="167"/>
      <c r="G431" s="175"/>
      <c r="H431" s="412"/>
    </row>
    <row r="432" spans="1:12" ht="15.75" customHeight="1">
      <c r="A432" s="414"/>
      <c r="B432" s="675"/>
      <c r="C432" s="189" t="s">
        <v>1620</v>
      </c>
      <c r="D432" s="406"/>
      <c r="E432" s="173"/>
      <c r="F432" s="167"/>
      <c r="G432" s="175"/>
      <c r="H432" s="412"/>
      <c r="K432" s="699"/>
    </row>
    <row r="433" spans="1:11" ht="13.8" customHeight="1">
      <c r="A433" s="414"/>
      <c r="B433" s="408"/>
      <c r="C433" s="189" t="s">
        <v>2042</v>
      </c>
      <c r="D433" s="411"/>
      <c r="E433" s="238"/>
      <c r="F433" s="166"/>
      <c r="G433" s="175"/>
      <c r="H433" s="412"/>
    </row>
    <row r="434" spans="1:11" ht="15.6" customHeight="1">
      <c r="A434" s="414"/>
      <c r="B434" s="173"/>
      <c r="C434" s="234"/>
      <c r="D434" s="227" t="s">
        <v>4</v>
      </c>
      <c r="E434" s="220"/>
      <c r="F434" s="167"/>
      <c r="G434" s="80"/>
      <c r="H434" s="412"/>
      <c r="K434"/>
    </row>
    <row r="435" spans="1:11" ht="15.6" customHeight="1">
      <c r="A435" s="414"/>
      <c r="B435" s="168" t="s">
        <v>74</v>
      </c>
      <c r="C435" s="168" t="s">
        <v>1135</v>
      </c>
      <c r="D435" s="1359">
        <f>D31/(D425*D426*2*PI())</f>
        <v>5.2906667962584796E-11</v>
      </c>
      <c r="E435" s="220" t="s">
        <v>681</v>
      </c>
      <c r="F435" s="167"/>
      <c r="G435" s="97"/>
      <c r="H435" s="412"/>
    </row>
    <row r="436" spans="1:11" ht="15.75" customHeight="1">
      <c r="A436" s="414"/>
      <c r="B436" s="691"/>
      <c r="C436" s="176"/>
      <c r="D436" s="1531"/>
      <c r="E436" s="1270"/>
      <c r="F436" s="1299"/>
      <c r="G436" s="691"/>
      <c r="H436" s="412"/>
      <c r="K436"/>
    </row>
    <row r="437" spans="1:11" ht="15.75" customHeight="1">
      <c r="A437" s="414"/>
      <c r="B437" s="167"/>
      <c r="C437" s="168"/>
      <c r="D437" s="227" t="s">
        <v>3</v>
      </c>
      <c r="E437" s="220"/>
      <c r="F437" s="167"/>
      <c r="G437" s="2387" t="s">
        <v>2861</v>
      </c>
      <c r="H437" s="412"/>
      <c r="K437"/>
    </row>
    <row r="438" spans="1:11" ht="15.75" customHeight="1">
      <c r="A438" s="414"/>
      <c r="B438" s="168" t="s">
        <v>210</v>
      </c>
      <c r="C438" s="168" t="s">
        <v>1135</v>
      </c>
      <c r="D438" s="267">
        <f>0.0000000001</f>
        <v>1E-10</v>
      </c>
      <c r="E438" s="220" t="s">
        <v>681</v>
      </c>
      <c r="F438" s="167"/>
      <c r="G438" s="2388" t="s">
        <v>2860</v>
      </c>
      <c r="H438" s="412"/>
    </row>
    <row r="439" spans="1:11" ht="15.75" customHeight="1">
      <c r="A439" s="414"/>
      <c r="B439" s="191" t="s">
        <v>15</v>
      </c>
      <c r="C439" s="168" t="s">
        <v>55</v>
      </c>
      <c r="D439" s="267">
        <v>9.1100000000000003E-31</v>
      </c>
      <c r="E439" s="220" t="s">
        <v>680</v>
      </c>
      <c r="F439" s="167"/>
      <c r="G439" s="2389" t="s">
        <v>2862</v>
      </c>
      <c r="H439" s="412"/>
    </row>
    <row r="440" spans="1:11" ht="15.75" customHeight="1">
      <c r="A440" s="414"/>
      <c r="B440" s="691"/>
      <c r="C440" s="176"/>
      <c r="D440" s="1531"/>
      <c r="E440" s="1270"/>
      <c r="F440" s="1299"/>
      <c r="G440" s="691"/>
      <c r="H440" s="412"/>
      <c r="K440"/>
    </row>
    <row r="441" spans="1:11" ht="15.75" customHeight="1">
      <c r="A441" s="414"/>
      <c r="B441" s="663" t="s">
        <v>79</v>
      </c>
      <c r="C441" s="189" t="s">
        <v>1330</v>
      </c>
      <c r="D441" s="235"/>
      <c r="E441" s="173"/>
      <c r="F441" s="167"/>
      <c r="G441" s="175"/>
      <c r="H441" s="412"/>
      <c r="K441"/>
    </row>
    <row r="442" spans="1:11" ht="13.2" customHeight="1">
      <c r="A442" s="414"/>
      <c r="B442" s="663"/>
      <c r="C442" s="189" t="s">
        <v>2044</v>
      </c>
      <c r="D442" s="235"/>
      <c r="E442" s="173"/>
      <c r="F442" s="167"/>
      <c r="G442" s="175"/>
      <c r="H442" s="412"/>
    </row>
    <row r="443" spans="1:11" ht="15.75" customHeight="1">
      <c r="A443" s="414"/>
      <c r="B443" s="663"/>
      <c r="C443" s="189" t="s">
        <v>2043</v>
      </c>
      <c r="D443" s="235"/>
      <c r="E443" s="173"/>
      <c r="F443" s="167"/>
      <c r="G443" s="175"/>
      <c r="H443" s="412"/>
    </row>
    <row r="444" spans="1:11" ht="15.75" customHeight="1">
      <c r="A444" s="414"/>
      <c r="B444" s="167"/>
      <c r="C444" s="168"/>
      <c r="D444" s="227" t="s">
        <v>4</v>
      </c>
      <c r="E444" s="220"/>
      <c r="F444" s="167"/>
      <c r="G444" s="1232"/>
      <c r="H444" s="412"/>
      <c r="K444"/>
    </row>
    <row r="445" spans="1:11" ht="15.75" customHeight="1">
      <c r="A445" s="414"/>
      <c r="B445" s="168" t="s">
        <v>76</v>
      </c>
      <c r="C445" s="168" t="s">
        <v>64</v>
      </c>
      <c r="D445" s="1359">
        <f>D31/(D438*D439*2*PI())</f>
        <v>1157597.8950213555</v>
      </c>
      <c r="E445" s="220" t="s">
        <v>24</v>
      </c>
      <c r="F445" s="167"/>
      <c r="G445" s="1247"/>
      <c r="H445" s="412"/>
    </row>
    <row r="446" spans="1:11" ht="7.2" customHeight="1">
      <c r="A446" s="389"/>
      <c r="B446" s="426"/>
      <c r="C446" s="426"/>
      <c r="D446" s="476"/>
      <c r="E446" s="437"/>
      <c r="F446" s="426"/>
      <c r="G446" s="477"/>
      <c r="H446" s="1250"/>
    </row>
    <row r="447" spans="1:11" ht="15.75" customHeight="1">
      <c r="A447" s="485"/>
      <c r="B447" s="420"/>
      <c r="C447" s="420"/>
      <c r="D447" s="478"/>
      <c r="E447" s="421"/>
      <c r="F447" s="420"/>
      <c r="G447" s="422"/>
      <c r="H447" s="1871" t="s">
        <v>342</v>
      </c>
    </row>
    <row r="448" spans="1:11" ht="15.6">
      <c r="A448" s="414"/>
      <c r="B448" s="2212" t="s">
        <v>1927</v>
      </c>
      <c r="C448" s="211"/>
      <c r="D448" s="225"/>
      <c r="E448" s="173"/>
      <c r="F448" s="167"/>
      <c r="G448" s="175"/>
      <c r="H448" s="412"/>
    </row>
    <row r="449" spans="1:11" ht="15.75" customHeight="1">
      <c r="A449" s="414"/>
      <c r="B449" s="178" t="s">
        <v>1328</v>
      </c>
      <c r="C449" s="211"/>
      <c r="D449" s="225"/>
      <c r="E449" s="173"/>
      <c r="F449" s="167"/>
      <c r="G449" s="185"/>
      <c r="H449" s="412"/>
    </row>
    <row r="450" spans="1:11" ht="15.75" customHeight="1">
      <c r="A450" s="414"/>
      <c r="B450" s="178" t="s">
        <v>1329</v>
      </c>
      <c r="C450" s="211"/>
      <c r="D450" s="225"/>
      <c r="E450" s="173"/>
      <c r="F450" s="167"/>
      <c r="G450" s="474"/>
      <c r="H450" s="412"/>
      <c r="J450" s="1522"/>
    </row>
    <row r="451" spans="1:11" ht="15.75" customHeight="1">
      <c r="A451" s="414"/>
      <c r="B451" s="175"/>
      <c r="C451" s="166"/>
      <c r="D451" s="172"/>
      <c r="E451" s="238"/>
      <c r="F451" s="167"/>
      <c r="G451" s="474"/>
      <c r="H451" s="412"/>
    </row>
    <row r="452" spans="1:11" ht="15.75" customHeight="1">
      <c r="A452" s="414"/>
      <c r="B452" s="178" t="s">
        <v>293</v>
      </c>
      <c r="C452" s="166"/>
      <c r="D452" s="172"/>
      <c r="E452" s="238"/>
      <c r="F452" s="167"/>
      <c r="G452" s="185"/>
      <c r="H452" s="412"/>
    </row>
    <row r="453" spans="1:11" ht="15.75" customHeight="1">
      <c r="A453" s="414"/>
      <c r="B453" s="178"/>
      <c r="C453" s="166"/>
      <c r="D453" s="172"/>
      <c r="E453" s="238"/>
      <c r="F453" s="167"/>
      <c r="G453" s="185"/>
      <c r="H453" s="412"/>
    </row>
    <row r="454" spans="1:11" ht="12" customHeight="1">
      <c r="A454" s="414"/>
      <c r="B454" s="107"/>
      <c r="C454" s="166"/>
      <c r="D454" s="172"/>
      <c r="E454" s="238"/>
      <c r="F454" s="167"/>
      <c r="G454" s="185"/>
      <c r="H454" s="412"/>
    </row>
    <row r="455" spans="1:11" ht="15.75" customHeight="1">
      <c r="A455" s="414"/>
      <c r="B455" s="107"/>
      <c r="C455" s="211"/>
      <c r="D455" s="233" t="s">
        <v>3</v>
      </c>
      <c r="E455" s="173"/>
      <c r="F455" s="167"/>
      <c r="G455" s="1862" t="s">
        <v>431</v>
      </c>
      <c r="H455" s="412"/>
    </row>
    <row r="456" spans="1:11" ht="15.75" customHeight="1">
      <c r="A456" s="414"/>
      <c r="B456" s="506" t="s">
        <v>12</v>
      </c>
      <c r="C456" s="168" t="s">
        <v>565</v>
      </c>
      <c r="D456" s="259">
        <v>9.1000000000000001E-31</v>
      </c>
      <c r="E456" s="220" t="s">
        <v>680</v>
      </c>
      <c r="F456" s="168"/>
      <c r="G456" s="225"/>
      <c r="H456" s="412"/>
      <c r="J456" s="1522"/>
    </row>
    <row r="457" spans="1:11" ht="15.75" customHeight="1">
      <c r="A457" s="414"/>
      <c r="B457" s="506" t="s">
        <v>13</v>
      </c>
      <c r="C457" s="168" t="s">
        <v>6</v>
      </c>
      <c r="D457" s="259">
        <v>299000</v>
      </c>
      <c r="E457" s="220" t="s">
        <v>684</v>
      </c>
      <c r="F457" s="1358">
        <f>(100*D457)/(D9/1000)</f>
        <v>99.735664364346221</v>
      </c>
      <c r="G457" s="204" t="s">
        <v>17</v>
      </c>
      <c r="H457" s="412"/>
    </row>
    <row r="458" spans="1:11" ht="15.75" customHeight="1">
      <c r="A458" s="414"/>
      <c r="B458" s="506" t="s">
        <v>566</v>
      </c>
      <c r="C458" s="168" t="s">
        <v>563</v>
      </c>
      <c r="D458" s="1357">
        <f>(D456*279*1000)/(SQRT(1-POWER((D457/D9/1000),2)))</f>
        <v>2.5389000000012626E-25</v>
      </c>
      <c r="E458" s="220" t="s">
        <v>2309</v>
      </c>
      <c r="F458" s="168"/>
      <c r="G458" s="225"/>
      <c r="H458" s="412"/>
      <c r="J458" s="1524"/>
      <c r="K458"/>
    </row>
    <row r="459" spans="1:11" ht="15.75" customHeight="1">
      <c r="A459" s="414"/>
      <c r="B459" s="663" t="s">
        <v>62</v>
      </c>
      <c r="C459" s="180" t="s">
        <v>58</v>
      </c>
      <c r="D459" s="172"/>
      <c r="E459" s="173"/>
      <c r="F459" s="167"/>
      <c r="G459" s="185"/>
      <c r="H459" s="412"/>
      <c r="J459" s="1522"/>
    </row>
    <row r="460" spans="1:11" ht="15.75" customHeight="1">
      <c r="A460" s="414"/>
      <c r="B460" s="175"/>
      <c r="C460" s="180" t="s">
        <v>75</v>
      </c>
      <c r="D460" s="172"/>
      <c r="E460" s="173"/>
      <c r="F460" s="167"/>
      <c r="G460" s="185"/>
      <c r="H460" s="412"/>
    </row>
    <row r="461" spans="1:11" ht="15.75" customHeight="1">
      <c r="A461" s="414"/>
      <c r="B461" s="175"/>
      <c r="C461" s="167"/>
      <c r="D461" s="233" t="s">
        <v>4</v>
      </c>
      <c r="E461" s="173"/>
      <c r="F461" s="167"/>
      <c r="G461" s="1225"/>
      <c r="H461" s="412"/>
      <c r="J461" s="1524"/>
    </row>
    <row r="462" spans="1:11" ht="15.75" customHeight="1">
      <c r="A462" s="414"/>
      <c r="B462" s="168" t="s">
        <v>56</v>
      </c>
      <c r="C462" s="168" t="s">
        <v>207</v>
      </c>
      <c r="D462" s="256">
        <f>(D31/D458)</f>
        <v>2.6098189373337684E-9</v>
      </c>
      <c r="E462" s="220" t="s">
        <v>8</v>
      </c>
      <c r="F462" s="168"/>
      <c r="G462" s="81"/>
      <c r="H462" s="412"/>
      <c r="J462" s="1522"/>
    </row>
    <row r="463" spans="1:11" ht="15.75" customHeight="1">
      <c r="A463" s="414"/>
      <c r="B463" s="107"/>
      <c r="C463" s="168"/>
      <c r="D463" s="235"/>
      <c r="E463" s="220"/>
      <c r="F463" s="168"/>
      <c r="G463" s="185"/>
      <c r="H463" s="412"/>
    </row>
    <row r="464" spans="1:11" ht="15.75" customHeight="1">
      <c r="A464" s="414"/>
      <c r="B464" s="168" t="s">
        <v>59</v>
      </c>
      <c r="C464" s="168" t="s">
        <v>10</v>
      </c>
      <c r="D464" s="256">
        <f>(D9/1000)/D462</f>
        <v>114870979749485.16</v>
      </c>
      <c r="E464" s="220" t="s">
        <v>265</v>
      </c>
      <c r="F464" s="168"/>
      <c r="G464" s="80"/>
      <c r="H464" s="412"/>
    </row>
    <row r="465" spans="1:12" ht="15.75" customHeight="1">
      <c r="A465" s="414"/>
      <c r="B465" s="107"/>
      <c r="C465" s="206"/>
      <c r="D465" s="235"/>
      <c r="E465" s="220"/>
      <c r="F465" s="168"/>
      <c r="G465" s="97"/>
      <c r="H465" s="412"/>
      <c r="K465"/>
    </row>
    <row r="466" spans="1:12" ht="15.75" customHeight="1">
      <c r="A466" s="414"/>
      <c r="B466" s="1223" t="s">
        <v>1926</v>
      </c>
      <c r="C466" s="206"/>
      <c r="D466" s="172"/>
      <c r="E466" s="443"/>
      <c r="F466" s="206"/>
      <c r="G466" s="175"/>
      <c r="H466" s="412"/>
    </row>
    <row r="467" spans="1:12" ht="15.75" customHeight="1">
      <c r="A467" s="414"/>
      <c r="B467" s="168" t="s">
        <v>60</v>
      </c>
      <c r="C467" s="168" t="s">
        <v>61</v>
      </c>
      <c r="D467" s="256">
        <f>D31*D464</f>
        <v>7.6114307237898534E-20</v>
      </c>
      <c r="E467" s="220" t="s">
        <v>2310</v>
      </c>
      <c r="F467" s="220"/>
      <c r="G467" s="96"/>
      <c r="H467" s="412"/>
    </row>
    <row r="468" spans="1:12" ht="15.75" customHeight="1">
      <c r="A468" s="414"/>
      <c r="B468" s="107"/>
      <c r="C468" s="167"/>
      <c r="D468" s="225"/>
      <c r="E468" s="220"/>
      <c r="F468" s="167"/>
      <c r="G468" s="185"/>
      <c r="H468" s="412"/>
      <c r="K468"/>
    </row>
    <row r="469" spans="1:12" ht="15.75" customHeight="1">
      <c r="A469" s="414"/>
      <c r="B469" s="1224"/>
      <c r="C469" s="178" t="s">
        <v>567</v>
      </c>
      <c r="D469" s="347"/>
      <c r="E469" s="416"/>
      <c r="F469" s="176"/>
      <c r="G469" s="107"/>
      <c r="H469" s="412"/>
      <c r="K469"/>
    </row>
    <row r="470" spans="1:12" ht="15.75" customHeight="1">
      <c r="A470" s="414"/>
      <c r="B470" s="1535" t="s">
        <v>1943</v>
      </c>
      <c r="C470" s="178" t="s">
        <v>632</v>
      </c>
      <c r="D470" s="225"/>
      <c r="E470" s="173"/>
      <c r="F470" s="167"/>
      <c r="G470" s="185"/>
      <c r="H470" s="412"/>
      <c r="K470"/>
    </row>
    <row r="471" spans="1:12" ht="15.75" customHeight="1">
      <c r="A471" s="414"/>
      <c r="B471" s="1534" t="s">
        <v>1944</v>
      </c>
      <c r="C471" s="178" t="s">
        <v>633</v>
      </c>
      <c r="D471" s="225"/>
      <c r="E471" s="173"/>
      <c r="F471" s="167"/>
      <c r="G471" s="185"/>
      <c r="H471" s="412"/>
      <c r="K471"/>
    </row>
    <row r="472" spans="1:12" ht="15.75" customHeight="1">
      <c r="A472" s="414"/>
      <c r="B472" s="107"/>
      <c r="C472" s="210" t="s">
        <v>635</v>
      </c>
      <c r="D472" s="225"/>
      <c r="E472" s="173"/>
      <c r="F472" s="167"/>
      <c r="G472" s="185"/>
      <c r="H472" s="412"/>
    </row>
    <row r="473" spans="1:12" ht="15.75" customHeight="1">
      <c r="A473" s="414"/>
      <c r="B473" s="474"/>
      <c r="C473" s="236" t="s">
        <v>634</v>
      </c>
      <c r="D473" s="225"/>
      <c r="E473" s="173"/>
      <c r="F473" s="167"/>
      <c r="G473" s="185"/>
      <c r="H473" s="412"/>
    </row>
    <row r="474" spans="1:12" ht="15.75" customHeight="1">
      <c r="A474" s="414"/>
      <c r="B474" s="185"/>
      <c r="C474" s="167"/>
      <c r="D474" s="225"/>
      <c r="E474" s="173"/>
      <c r="F474" s="167"/>
      <c r="G474" s="185"/>
      <c r="H474" s="412"/>
    </row>
    <row r="475" spans="1:12" ht="15.75" customHeight="1">
      <c r="A475" s="414"/>
      <c r="B475" s="185"/>
      <c r="C475" s="167"/>
      <c r="D475" s="225"/>
      <c r="E475" s="173"/>
      <c r="F475" s="167"/>
      <c r="G475" s="185"/>
      <c r="H475" s="412"/>
      <c r="L475" s="78"/>
    </row>
    <row r="476" spans="1:12" ht="15.75" customHeight="1">
      <c r="A476" s="414"/>
      <c r="B476" s="185"/>
      <c r="C476" s="167"/>
      <c r="D476" s="225"/>
      <c r="E476" s="173"/>
      <c r="F476" s="167"/>
      <c r="G476" s="185"/>
      <c r="H476" s="412"/>
    </row>
    <row r="477" spans="1:12" ht="15.75" customHeight="1">
      <c r="A477" s="414"/>
      <c r="B477" s="185"/>
      <c r="C477" s="167"/>
      <c r="D477" s="225"/>
      <c r="E477" s="173"/>
      <c r="F477" s="167"/>
      <c r="G477" s="185"/>
      <c r="H477" s="412"/>
    </row>
    <row r="478" spans="1:12" ht="15.75" customHeight="1">
      <c r="A478" s="414"/>
      <c r="B478" s="185"/>
      <c r="C478" s="167"/>
      <c r="D478" s="225"/>
      <c r="E478" s="173"/>
      <c r="F478" s="167"/>
      <c r="G478" s="185"/>
      <c r="H478" s="412"/>
      <c r="K478" s="703"/>
    </row>
    <row r="479" spans="1:12" ht="15.75" customHeight="1">
      <c r="A479" s="414"/>
      <c r="B479" s="185"/>
      <c r="C479" s="167"/>
      <c r="D479" s="225"/>
      <c r="E479" s="173"/>
      <c r="F479" s="167"/>
      <c r="G479" s="185"/>
      <c r="H479" s="412"/>
    </row>
    <row r="480" spans="1:12" ht="15.75" customHeight="1">
      <c r="A480" s="414"/>
      <c r="B480" s="679" t="s">
        <v>2373</v>
      </c>
      <c r="C480" s="167"/>
      <c r="D480" s="225"/>
      <c r="E480" s="173"/>
      <c r="F480" s="167"/>
      <c r="G480" s="185"/>
      <c r="H480" s="412"/>
    </row>
    <row r="481" spans="1:12" ht="15.75" customHeight="1">
      <c r="A481" s="414"/>
      <c r="B481" s="1856" t="s">
        <v>2124</v>
      </c>
      <c r="C481" s="166"/>
      <c r="D481" s="172"/>
      <c r="E481" s="238"/>
      <c r="F481" s="166"/>
      <c r="G481" s="175"/>
      <c r="H481" s="412"/>
    </row>
    <row r="482" spans="1:12" s="1" customFormat="1" ht="15.75" customHeight="1">
      <c r="A482" s="689"/>
      <c r="B482" s="1864" t="s">
        <v>2125</v>
      </c>
      <c r="C482" s="449"/>
      <c r="D482" s="572"/>
      <c r="E482" s="418"/>
      <c r="F482" s="449"/>
      <c r="G482" s="481"/>
      <c r="H482" s="484"/>
      <c r="I482" s="89"/>
      <c r="J482" s="1147"/>
      <c r="K482" s="700"/>
      <c r="L482" s="5"/>
    </row>
    <row r="483" spans="1:12" s="53" customFormat="1" ht="15.6" customHeight="1">
      <c r="A483" s="688"/>
      <c r="B483" s="2238" t="s">
        <v>90</v>
      </c>
      <c r="C483" s="1908"/>
      <c r="D483" s="1909"/>
      <c r="E483" s="1910"/>
      <c r="F483" s="1908"/>
      <c r="G483" s="599"/>
      <c r="H483" s="1906" t="s">
        <v>341</v>
      </c>
      <c r="I483" s="82"/>
      <c r="J483" s="1282"/>
      <c r="K483" s="69"/>
      <c r="L483" s="70"/>
    </row>
    <row r="484" spans="1:12" ht="15.75" customHeight="1">
      <c r="A484" s="414"/>
      <c r="B484" s="1425" t="s">
        <v>85</v>
      </c>
      <c r="C484" s="167"/>
      <c r="D484" s="175"/>
      <c r="E484" s="173"/>
      <c r="F484" s="167"/>
      <c r="G484" s="185"/>
      <c r="H484" s="412"/>
    </row>
    <row r="485" spans="1:12" ht="15" customHeight="1">
      <c r="A485" s="414"/>
      <c r="B485" s="173" t="s">
        <v>851</v>
      </c>
      <c r="C485" s="167"/>
      <c r="D485" s="175"/>
      <c r="E485" s="173"/>
      <c r="F485" s="167"/>
      <c r="G485" s="185"/>
      <c r="H485" s="412"/>
    </row>
    <row r="486" spans="1:12" ht="15" customHeight="1">
      <c r="A486" s="414"/>
      <c r="B486" s="1932" t="s">
        <v>1166</v>
      </c>
      <c r="C486" s="167"/>
      <c r="D486" s="175"/>
      <c r="E486" s="173"/>
      <c r="F486" s="167"/>
      <c r="G486" s="185"/>
      <c r="H486" s="412"/>
      <c r="I486" s="92"/>
    </row>
    <row r="487" spans="1:12" ht="15" customHeight="1">
      <c r="A487" s="414"/>
      <c r="B487" s="664" t="s">
        <v>1842</v>
      </c>
      <c r="C487" s="167"/>
      <c r="D487" s="175"/>
      <c r="E487" s="173"/>
      <c r="F487" s="167"/>
      <c r="G487" s="185"/>
      <c r="H487" s="412"/>
      <c r="I487" s="92"/>
    </row>
    <row r="488" spans="1:12" ht="15" customHeight="1">
      <c r="A488" s="414"/>
      <c r="B488" s="734" t="s">
        <v>1167</v>
      </c>
      <c r="C488" s="167"/>
      <c r="D488" s="225"/>
      <c r="E488" s="173"/>
      <c r="F488" s="167"/>
      <c r="G488" s="175"/>
      <c r="H488" s="412"/>
      <c r="I488" s="92"/>
    </row>
    <row r="489" spans="1:12" ht="15.75" customHeight="1">
      <c r="A489" s="414"/>
      <c r="B489" s="1971" t="s">
        <v>1522</v>
      </c>
      <c r="C489" s="167"/>
      <c r="D489" s="225"/>
      <c r="E489" s="173"/>
      <c r="F489" s="167"/>
      <c r="G489" s="175"/>
      <c r="H489" s="412"/>
      <c r="I489" s="92"/>
    </row>
    <row r="490" spans="1:12" ht="15.75" customHeight="1">
      <c r="A490" s="414"/>
      <c r="B490" s="1975" t="s">
        <v>2856</v>
      </c>
      <c r="C490" s="167"/>
      <c r="D490" s="172"/>
      <c r="E490" s="238"/>
      <c r="F490" s="167"/>
      <c r="G490" s="182" t="s">
        <v>89</v>
      </c>
      <c r="H490" s="412"/>
      <c r="I490" s="92"/>
    </row>
    <row r="491" spans="1:12" ht="15.75" customHeight="1">
      <c r="A491" s="414"/>
      <c r="B491" s="665" t="s">
        <v>2857</v>
      </c>
      <c r="C491" s="166"/>
      <c r="D491" s="172"/>
      <c r="E491" s="238"/>
      <c r="F491" s="167"/>
      <c r="G491" s="1865" t="s">
        <v>432</v>
      </c>
      <c r="H491" s="412"/>
      <c r="I491" s="92"/>
    </row>
    <row r="492" spans="1:12" ht="15.75" customHeight="1">
      <c r="A492" s="414"/>
      <c r="B492" s="664" t="s">
        <v>2858</v>
      </c>
      <c r="C492" s="166"/>
      <c r="D492" s="172"/>
      <c r="E492" s="238"/>
      <c r="F492" s="167"/>
      <c r="G492" s="180" t="s">
        <v>1169</v>
      </c>
      <c r="H492" s="412"/>
      <c r="I492" s="92"/>
    </row>
    <row r="493" spans="1:12" ht="15.75" customHeight="1">
      <c r="A493" s="414"/>
      <c r="B493" s="593" t="s">
        <v>1673</v>
      </c>
      <c r="C493" s="166"/>
      <c r="D493" s="172"/>
      <c r="E493" s="238"/>
      <c r="F493" s="166"/>
      <c r="G493" s="180" t="s">
        <v>1675</v>
      </c>
      <c r="H493" s="412"/>
      <c r="I493" s="92"/>
    </row>
    <row r="494" spans="1:12" ht="15.75" customHeight="1">
      <c r="A494" s="414"/>
      <c r="B494" s="664" t="s">
        <v>1674</v>
      </c>
      <c r="C494" s="219"/>
      <c r="D494" s="1412" t="s">
        <v>2374</v>
      </c>
      <c r="E494" s="1413"/>
      <c r="F494" s="166"/>
      <c r="G494" s="180" t="s">
        <v>1168</v>
      </c>
      <c r="H494" s="412"/>
      <c r="I494" s="92"/>
    </row>
    <row r="495" spans="1:12" ht="15.75" customHeight="1">
      <c r="A495" s="414"/>
      <c r="B495" s="343" t="s">
        <v>1208</v>
      </c>
      <c r="C495" s="1414"/>
      <c r="D495" s="226" t="s">
        <v>292</v>
      </c>
      <c r="E495" s="1409"/>
      <c r="F495" s="166"/>
      <c r="G495" s="180" t="s">
        <v>745</v>
      </c>
      <c r="H495" s="412"/>
      <c r="I495" s="93"/>
    </row>
    <row r="496" spans="1:12" ht="15.75" customHeight="1">
      <c r="A496" s="414"/>
      <c r="B496" s="664" t="s">
        <v>1676</v>
      </c>
      <c r="C496" s="166"/>
      <c r="D496" s="172"/>
      <c r="E496" s="238"/>
      <c r="F496" s="167"/>
      <c r="G496" s="180"/>
      <c r="H496" s="412"/>
      <c r="I496" s="93"/>
    </row>
    <row r="497" spans="1:13" ht="15.75" customHeight="1">
      <c r="A497" s="414"/>
      <c r="B497" s="664" t="s">
        <v>596</v>
      </c>
      <c r="C497" s="166"/>
      <c r="D497" s="175"/>
      <c r="E497" s="238"/>
      <c r="F497" s="167"/>
      <c r="G497" s="175"/>
      <c r="H497" s="412"/>
      <c r="I497" s="93"/>
    </row>
    <row r="498" spans="1:13" s="592" customFormat="1" ht="15.75" customHeight="1">
      <c r="A498" s="905"/>
      <c r="B498" s="734" t="s">
        <v>597</v>
      </c>
      <c r="C498" s="1167"/>
      <c r="D498" s="1168"/>
      <c r="E498" s="1169"/>
      <c r="F498" s="1555"/>
      <c r="G498" s="1170"/>
      <c r="H498" s="1171"/>
      <c r="I498" s="2383"/>
      <c r="J498" s="1285"/>
      <c r="K498" s="703"/>
      <c r="L498" s="78"/>
    </row>
    <row r="499" spans="1:13" ht="15.75" customHeight="1">
      <c r="A499" s="414"/>
      <c r="B499" s="1540" t="s">
        <v>1929</v>
      </c>
      <c r="C499" s="166"/>
      <c r="D499" s="172"/>
      <c r="E499" s="238"/>
      <c r="F499" s="167"/>
      <c r="G499" s="175"/>
      <c r="H499" s="412"/>
      <c r="I499" s="93"/>
    </row>
    <row r="500" spans="1:13" ht="15.75" customHeight="1">
      <c r="A500" s="414"/>
      <c r="B500" s="1528" t="s">
        <v>742</v>
      </c>
      <c r="C500" s="1866" t="s">
        <v>1516</v>
      </c>
      <c r="D500" s="167"/>
      <c r="E500" s="175"/>
      <c r="F500" s="167"/>
      <c r="G500" s="175"/>
      <c r="H500" s="412"/>
      <c r="I500" s="93"/>
    </row>
    <row r="501" spans="1:13" ht="15.75" customHeight="1">
      <c r="A501" s="414"/>
      <c r="B501" s="229" t="s">
        <v>2180</v>
      </c>
      <c r="C501" s="1866" t="s">
        <v>433</v>
      </c>
      <c r="D501" s="167"/>
      <c r="E501" s="175"/>
      <c r="F501" s="167"/>
      <c r="G501" s="175"/>
      <c r="H501" s="412"/>
      <c r="I501" s="94"/>
    </row>
    <row r="502" spans="1:13" ht="15.75" customHeight="1">
      <c r="A502" s="414"/>
      <c r="B502" s="188" t="s">
        <v>1899</v>
      </c>
      <c r="C502" s="176"/>
      <c r="D502" s="167"/>
      <c r="E502" s="175"/>
      <c r="F502" s="167"/>
      <c r="G502" s="175"/>
      <c r="H502" s="412"/>
    </row>
    <row r="503" spans="1:13" ht="15.75" customHeight="1">
      <c r="A503" s="414"/>
      <c r="B503" s="1933" t="s">
        <v>1900</v>
      </c>
      <c r="C503" s="176"/>
      <c r="D503" s="172"/>
      <c r="E503" s="238"/>
      <c r="F503" s="167"/>
      <c r="G503" s="175"/>
      <c r="H503" s="412"/>
      <c r="I503" s="94"/>
      <c r="M503" s="846"/>
    </row>
    <row r="504" spans="1:13" ht="15.75" customHeight="1">
      <c r="A504" s="414"/>
      <c r="B504" s="1985" t="s">
        <v>2218</v>
      </c>
      <c r="C504" s="166"/>
      <c r="D504" s="233" t="s">
        <v>3</v>
      </c>
      <c r="E504" s="238"/>
      <c r="F504" s="166"/>
      <c r="G504" s="175"/>
      <c r="H504" s="412"/>
      <c r="I504" s="94"/>
    </row>
    <row r="505" spans="1:13" ht="15.75" customHeight="1">
      <c r="A505" s="414"/>
      <c r="B505" s="168" t="s">
        <v>43</v>
      </c>
      <c r="C505" s="168" t="s">
        <v>208</v>
      </c>
      <c r="D505" s="260">
        <v>550</v>
      </c>
      <c r="E505" s="220" t="s">
        <v>685</v>
      </c>
      <c r="F505" s="166"/>
      <c r="G505" s="175"/>
      <c r="H505" s="412"/>
    </row>
    <row r="506" spans="1:13" ht="15.75" customHeight="1">
      <c r="A506" s="414"/>
      <c r="B506" s="107"/>
      <c r="C506" s="168" t="s">
        <v>562</v>
      </c>
      <c r="D506" s="845">
        <f>D505/1000000000</f>
        <v>5.5000000000000003E-7</v>
      </c>
      <c r="E506" s="220" t="s">
        <v>681</v>
      </c>
      <c r="F506" s="166"/>
      <c r="G506" s="175"/>
      <c r="H506" s="412"/>
    </row>
    <row r="507" spans="1:13" ht="15.75" customHeight="1">
      <c r="A507" s="414"/>
      <c r="B507" s="111" t="s">
        <v>850</v>
      </c>
      <c r="C507" s="111" t="s">
        <v>10</v>
      </c>
      <c r="D507" s="847">
        <f>D9/D506</f>
        <v>545077196909618.44</v>
      </c>
      <c r="E507" s="110" t="s">
        <v>2074</v>
      </c>
      <c r="F507" s="480" t="s">
        <v>2221</v>
      </c>
      <c r="G507" s="175"/>
      <c r="H507" s="412"/>
    </row>
    <row r="508" spans="1:13" ht="15.75" customHeight="1">
      <c r="A508" s="414"/>
      <c r="B508" s="168" t="s">
        <v>87</v>
      </c>
      <c r="C508" s="168" t="s">
        <v>86</v>
      </c>
      <c r="D508" s="255">
        <v>5270</v>
      </c>
      <c r="E508" s="220" t="s">
        <v>1013</v>
      </c>
      <c r="F508" s="1209" t="s">
        <v>2222</v>
      </c>
      <c r="G508" s="175"/>
      <c r="H508" s="412"/>
    </row>
    <row r="509" spans="1:13" ht="13.2" customHeight="1">
      <c r="A509" s="414"/>
      <c r="C509" s="176"/>
      <c r="D509" s="347"/>
      <c r="E509" s="416"/>
      <c r="F509" s="480" t="s">
        <v>2220</v>
      </c>
      <c r="G509" s="175"/>
      <c r="H509" s="412"/>
    </row>
    <row r="510" spans="1:13" ht="14.4" customHeight="1">
      <c r="A510" s="414"/>
      <c r="B510" s="229" t="s">
        <v>1622</v>
      </c>
      <c r="C510" s="192" t="s">
        <v>57</v>
      </c>
      <c r="D510" s="239"/>
      <c r="E510" s="240"/>
      <c r="F510" s="173"/>
      <c r="G510" s="175"/>
      <c r="H510" s="412"/>
    </row>
    <row r="511" spans="1:13" ht="14.4" customHeight="1">
      <c r="A511" s="414"/>
      <c r="B511" s="1933" t="s">
        <v>1677</v>
      </c>
      <c r="C511" s="1176" t="s">
        <v>2393</v>
      </c>
      <c r="D511" s="347"/>
      <c r="E511" s="416"/>
      <c r="F511" s="176"/>
      <c r="G511" s="107"/>
      <c r="H511" s="412"/>
      <c r="K511" s="640"/>
    </row>
    <row r="512" spans="1:13" ht="14.4" customHeight="1">
      <c r="A512" s="414"/>
      <c r="B512" s="1176" t="s">
        <v>747</v>
      </c>
      <c r="C512" s="1176" t="s">
        <v>2394</v>
      </c>
      <c r="D512" s="225"/>
      <c r="E512" s="173"/>
      <c r="F512" s="167"/>
      <c r="G512" s="175"/>
      <c r="H512" s="412"/>
      <c r="K512" s="848"/>
    </row>
    <row r="513" spans="1:12" ht="14.4" customHeight="1">
      <c r="A513" s="414"/>
      <c r="B513" s="1050" t="s">
        <v>1615</v>
      </c>
      <c r="C513" s="1176" t="s">
        <v>2355</v>
      </c>
      <c r="D513" s="225"/>
      <c r="E513" s="173"/>
      <c r="F513" s="167"/>
      <c r="G513" s="175"/>
      <c r="H513" s="412"/>
      <c r="K513" s="640"/>
    </row>
    <row r="514" spans="1:12" ht="14.4" customHeight="1">
      <c r="A514" s="414"/>
      <c r="B514" s="1050" t="s">
        <v>1614</v>
      </c>
      <c r="C514" s="1176"/>
      <c r="D514" s="225"/>
      <c r="E514" s="173"/>
      <c r="F514" s="167"/>
      <c r="G514" s="1865" t="s">
        <v>598</v>
      </c>
      <c r="H514" s="412"/>
      <c r="K514" s="640"/>
    </row>
    <row r="515" spans="1:12" ht="14.4" customHeight="1">
      <c r="A515" s="414"/>
      <c r="C515" s="168"/>
      <c r="D515" s="233" t="s">
        <v>4</v>
      </c>
      <c r="E515" s="220"/>
      <c r="F515" s="168"/>
      <c r="G515" s="1232"/>
      <c r="H515" s="412"/>
      <c r="K515" s="640"/>
    </row>
    <row r="516" spans="1:12" ht="14.4" customHeight="1">
      <c r="A516" s="414"/>
      <c r="B516" s="168" t="s">
        <v>2216</v>
      </c>
      <c r="C516" s="168" t="s">
        <v>1206</v>
      </c>
      <c r="D516" s="1354">
        <f>((2*PI()*D31*POWER((D9),2)))/(((POWER(2.718282,(D31*D9)/(D506*D32*D508)))-1)*(POWER(D506,5)))</f>
        <v>52369713488985.711</v>
      </c>
      <c r="E516" s="468" t="s">
        <v>2311</v>
      </c>
      <c r="F516" s="168"/>
      <c r="G516" s="1246"/>
      <c r="H516" s="412"/>
      <c r="K516" s="704"/>
    </row>
    <row r="517" spans="1:12" ht="14.4" customHeight="1">
      <c r="A517" s="414"/>
      <c r="B517" s="507" t="s">
        <v>2217</v>
      </c>
      <c r="C517" s="168" t="s">
        <v>61</v>
      </c>
      <c r="D517" s="1354">
        <f>D31*D507</f>
        <v>3.6117192805728776E-19</v>
      </c>
      <c r="E517" s="220" t="s">
        <v>631</v>
      </c>
      <c r="F517" s="168"/>
      <c r="G517" s="1246"/>
      <c r="H517" s="412"/>
    </row>
    <row r="518" spans="1:12" ht="13.2" customHeight="1">
      <c r="A518" s="414"/>
      <c r="B518" s="607"/>
      <c r="C518" s="173"/>
      <c r="D518" s="1531"/>
      <c r="E518" s="1270"/>
      <c r="F518" s="1986"/>
      <c r="G518" s="1247"/>
      <c r="H518" s="412"/>
    </row>
    <row r="519" spans="1:12" ht="14.4" customHeight="1">
      <c r="A519" s="389"/>
      <c r="B519" s="1116" t="s">
        <v>2181</v>
      </c>
      <c r="C519" s="419"/>
      <c r="D519" s="461"/>
      <c r="E519" s="418"/>
      <c r="F519" s="419"/>
      <c r="G519" s="395"/>
      <c r="H519" s="536"/>
    </row>
    <row r="520" spans="1:12" s="53" customFormat="1" ht="17.25" customHeight="1">
      <c r="A520" s="688"/>
      <c r="B520" s="682"/>
      <c r="C520" s="595"/>
      <c r="D520" s="596"/>
      <c r="E520" s="597"/>
      <c r="F520" s="598"/>
      <c r="G520" s="599"/>
      <c r="H520" s="1871" t="s">
        <v>340</v>
      </c>
      <c r="I520" s="82"/>
      <c r="J520" s="1282"/>
      <c r="K520" s="69"/>
      <c r="L520" s="70"/>
    </row>
    <row r="521" spans="1:12" ht="15" customHeight="1">
      <c r="A521" s="414"/>
      <c r="B521" s="593" t="s">
        <v>2574</v>
      </c>
      <c r="C521" s="176"/>
      <c r="D521" s="347"/>
      <c r="E521" s="416"/>
      <c r="F521" s="176"/>
      <c r="G521" s="80"/>
      <c r="H521" s="430"/>
    </row>
    <row r="522" spans="1:12" ht="15" customHeight="1">
      <c r="A522" s="414"/>
      <c r="B522" s="1771" t="s">
        <v>2289</v>
      </c>
      <c r="C522" s="168" t="s">
        <v>88</v>
      </c>
      <c r="D522" s="1354">
        <f>(2*PI()*D9*D32*D508)/POWER(D506,4)</f>
        <v>1498145891226207.2</v>
      </c>
      <c r="E522" s="468" t="s">
        <v>2311</v>
      </c>
      <c r="F522" s="168"/>
      <c r="G522" s="1248"/>
      <c r="H522" s="430"/>
    </row>
    <row r="523" spans="1:12" ht="15" customHeight="1">
      <c r="A523" s="414"/>
      <c r="B523" s="1771" t="s">
        <v>2859</v>
      </c>
      <c r="C523" s="168"/>
      <c r="D523" s="225"/>
      <c r="E523" s="220"/>
      <c r="F523" s="168"/>
      <c r="G523" s="1229"/>
      <c r="H523" s="430"/>
    </row>
    <row r="524" spans="1:12" ht="15" customHeight="1">
      <c r="A524" s="414"/>
      <c r="B524" s="1934" t="s">
        <v>1533</v>
      </c>
      <c r="C524" s="167"/>
      <c r="D524" s="178"/>
      <c r="E524" s="173"/>
      <c r="F524" s="167"/>
      <c r="G524" s="178"/>
      <c r="H524" s="430"/>
    </row>
    <row r="525" spans="1:12">
      <c r="A525" s="414"/>
      <c r="B525" s="508"/>
      <c r="C525" s="167"/>
      <c r="D525" s="175"/>
      <c r="E525" s="173"/>
      <c r="F525" s="167"/>
      <c r="G525" s="178"/>
      <c r="H525" s="430"/>
    </row>
    <row r="526" spans="1:12" ht="15" customHeight="1">
      <c r="A526" s="414"/>
      <c r="B526" s="1971" t="s">
        <v>2182</v>
      </c>
      <c r="C526" s="166"/>
      <c r="D526" s="1849" t="s">
        <v>1517</v>
      </c>
      <c r="E526" s="238"/>
      <c r="F526" s="166"/>
      <c r="G526" s="175"/>
      <c r="H526" s="430"/>
    </row>
    <row r="527" spans="1:12" ht="15" customHeight="1">
      <c r="A527" s="414"/>
      <c r="B527" s="1972" t="s">
        <v>2186</v>
      </c>
      <c r="C527" s="166"/>
      <c r="D527" s="1849" t="s">
        <v>433</v>
      </c>
      <c r="E527" s="238"/>
      <c r="F527" s="166"/>
      <c r="G527" s="175"/>
      <c r="H527" s="430"/>
      <c r="K527"/>
    </row>
    <row r="528" spans="1:12">
      <c r="A528" s="414"/>
      <c r="B528" s="1973" t="s">
        <v>2215</v>
      </c>
      <c r="C528" s="166"/>
      <c r="D528" s="241"/>
      <c r="E528" s="238"/>
      <c r="F528" s="166"/>
      <c r="G528" s="178"/>
      <c r="H528" s="430"/>
    </row>
    <row r="529" spans="1:12">
      <c r="A529" s="414"/>
      <c r="B529" s="1973" t="s">
        <v>2637</v>
      </c>
      <c r="C529" s="242"/>
      <c r="D529" s="1531"/>
      <c r="E529" s="242"/>
      <c r="F529" s="242"/>
      <c r="G529" s="242"/>
      <c r="H529" s="430"/>
    </row>
    <row r="530" spans="1:12" s="5" customFormat="1" ht="13.2">
      <c r="A530" s="432"/>
      <c r="B530" s="1974" t="s">
        <v>2205</v>
      </c>
      <c r="C530" s="167"/>
      <c r="D530" s="1936"/>
      <c r="E530" s="173"/>
      <c r="F530" s="167"/>
      <c r="G530" s="178"/>
      <c r="H530" s="431"/>
      <c r="I530" s="90"/>
      <c r="J530" s="1147"/>
      <c r="K530" s="700"/>
    </row>
    <row r="531" spans="1:12" s="5" customFormat="1" ht="13.8">
      <c r="A531" s="432"/>
      <c r="C531" s="167"/>
      <c r="D531" s="343"/>
      <c r="E531" s="173"/>
      <c r="F531" s="167"/>
      <c r="G531" s="178"/>
      <c r="H531" s="431"/>
      <c r="I531" s="90"/>
      <c r="J531" s="1147"/>
      <c r="K531" s="19"/>
    </row>
    <row r="532" spans="1:12" s="5" customFormat="1" ht="13.8">
      <c r="A532" s="432"/>
      <c r="B532" s="658" t="s">
        <v>94</v>
      </c>
      <c r="C532" s="167"/>
      <c r="D532" s="343"/>
      <c r="E532" s="173"/>
      <c r="F532" s="167"/>
      <c r="G532" s="178"/>
      <c r="H532" s="431"/>
      <c r="I532" s="90"/>
      <c r="J532" s="1147"/>
      <c r="K532" s="19"/>
    </row>
    <row r="533" spans="1:12" s="76" customFormat="1" ht="17.25" customHeight="1">
      <c r="A533" s="425"/>
      <c r="B533" s="211" t="s">
        <v>1534</v>
      </c>
      <c r="C533" s="407"/>
      <c r="D533" s="593"/>
      <c r="E533" s="237"/>
      <c r="F533" s="407"/>
      <c r="G533" s="408"/>
      <c r="H533" s="594"/>
      <c r="I533" s="93"/>
      <c r="J533" s="1282"/>
      <c r="K533" s="705"/>
    </row>
    <row r="534" spans="1:12" s="5" customFormat="1" ht="14.25" customHeight="1">
      <c r="A534" s="432"/>
      <c r="B534" s="593" t="s">
        <v>2183</v>
      </c>
      <c r="C534" s="167"/>
      <c r="D534" s="178"/>
      <c r="E534" s="173"/>
      <c r="F534" s="167"/>
      <c r="G534" s="482"/>
      <c r="H534" s="431"/>
      <c r="I534" s="90"/>
      <c r="J534" s="1147"/>
    </row>
    <row r="535" spans="1:12" s="5" customFormat="1" ht="14.25" customHeight="1">
      <c r="A535" s="432"/>
      <c r="B535" s="593" t="s">
        <v>1535</v>
      </c>
      <c r="C535" s="167"/>
      <c r="D535" s="343"/>
      <c r="E535" s="173"/>
      <c r="F535" s="167"/>
      <c r="G535" s="178"/>
      <c r="H535" s="431"/>
      <c r="I535" s="90"/>
      <c r="J535" s="1147"/>
      <c r="K535" s="700"/>
    </row>
    <row r="536" spans="1:12" s="5" customFormat="1" ht="14.25" customHeight="1">
      <c r="A536" s="432"/>
      <c r="B536" s="593" t="s">
        <v>1536</v>
      </c>
      <c r="C536" s="167"/>
      <c r="D536" s="1938" t="s">
        <v>2187</v>
      </c>
      <c r="E536" s="173"/>
      <c r="F536" s="167"/>
      <c r="G536" s="483"/>
      <c r="H536" s="431"/>
      <c r="I536" s="90"/>
      <c r="J536" s="1147"/>
      <c r="K536" s="700"/>
    </row>
    <row r="537" spans="1:12" s="5" customFormat="1" ht="13.8" customHeight="1">
      <c r="A537" s="432"/>
      <c r="B537" s="593" t="s">
        <v>2173</v>
      </c>
      <c r="C537" s="167"/>
      <c r="E537" s="173"/>
      <c r="F537" s="167"/>
      <c r="G537" s="483"/>
      <c r="H537" s="431"/>
      <c r="I537" s="90"/>
      <c r="J537" s="1147"/>
    </row>
    <row r="538" spans="1:12" s="5" customFormat="1" ht="14.4" customHeight="1">
      <c r="A538" s="432"/>
      <c r="B538" s="1927" t="s">
        <v>2174</v>
      </c>
      <c r="C538" s="167"/>
      <c r="D538" s="178"/>
      <c r="E538" s="173"/>
      <c r="F538" s="167"/>
      <c r="G538" s="483"/>
      <c r="H538" s="431"/>
      <c r="I538" s="90"/>
      <c r="J538" s="1147"/>
    </row>
    <row r="539" spans="1:12" s="5" customFormat="1" ht="15.6" customHeight="1">
      <c r="A539" s="432"/>
      <c r="B539" s="193" t="s">
        <v>2184</v>
      </c>
      <c r="C539" s="343"/>
      <c r="D539" s="233" t="s">
        <v>3</v>
      </c>
      <c r="E539" s="343"/>
      <c r="F539" s="167"/>
      <c r="G539" s="483"/>
      <c r="H539" s="431"/>
      <c r="I539" s="90"/>
      <c r="J539" s="1149"/>
      <c r="K539" s="90"/>
      <c r="L539" s="90"/>
    </row>
    <row r="540" spans="1:12" s="5" customFormat="1" ht="15.6">
      <c r="A540" s="432"/>
      <c r="B540" s="648" t="s">
        <v>1537</v>
      </c>
      <c r="C540" s="168" t="s">
        <v>152</v>
      </c>
      <c r="D540" s="258">
        <v>580</v>
      </c>
      <c r="E540" s="220" t="s">
        <v>685</v>
      </c>
      <c r="F540" s="167"/>
      <c r="G540" s="178"/>
      <c r="H540" s="431"/>
      <c r="I540" s="90"/>
      <c r="J540" s="1149"/>
      <c r="K540" s="90"/>
      <c r="L540" s="90"/>
    </row>
    <row r="541" spans="1:12" s="5" customFormat="1" ht="13.2">
      <c r="A541" s="432"/>
      <c r="B541" s="343"/>
      <c r="C541" s="343"/>
      <c r="D541" s="343"/>
      <c r="E541" s="343"/>
      <c r="F541" s="167"/>
      <c r="G541" s="178"/>
      <c r="H541" s="431"/>
      <c r="I541" s="90"/>
      <c r="J541" s="1149"/>
      <c r="L541" s="90"/>
    </row>
    <row r="542" spans="1:12" s="5" customFormat="1" ht="15.6">
      <c r="A542" s="432"/>
      <c r="B542" s="678" t="s">
        <v>62</v>
      </c>
      <c r="C542" s="180" t="s">
        <v>1541</v>
      </c>
      <c r="D542" s="178"/>
      <c r="E542" s="173"/>
      <c r="F542" s="167"/>
      <c r="G542" s="178"/>
      <c r="H542" s="431"/>
      <c r="I542" s="90"/>
      <c r="J542" s="1149"/>
      <c r="L542" s="90"/>
    </row>
    <row r="543" spans="1:12" s="5" customFormat="1">
      <c r="A543" s="432"/>
      <c r="B543" s="343"/>
      <c r="C543" s="168"/>
      <c r="D543" s="233" t="s">
        <v>4</v>
      </c>
      <c r="E543" s="220"/>
      <c r="F543" s="168"/>
      <c r="G543" s="178" t="s">
        <v>95</v>
      </c>
      <c r="H543" s="431"/>
      <c r="I543" s="90"/>
      <c r="J543" s="1"/>
      <c r="L543" s="90"/>
    </row>
    <row r="544" spans="1:12" s="5" customFormat="1" ht="15.6">
      <c r="A544" s="432"/>
      <c r="B544" s="1775" t="s">
        <v>93</v>
      </c>
      <c r="C544" s="168" t="s">
        <v>86</v>
      </c>
      <c r="D544" s="1355">
        <f>(D34/D540)*1000000000</f>
        <v>4996.5517241379312</v>
      </c>
      <c r="E544" s="220" t="s">
        <v>1013</v>
      </c>
      <c r="F544" s="168"/>
      <c r="G544" s="1249" t="s">
        <v>153</v>
      </c>
      <c r="H544" s="433"/>
      <c r="I544" s="90"/>
      <c r="J544" s="1"/>
      <c r="L544" s="90"/>
    </row>
    <row r="545" spans="1:12" s="5" customFormat="1" ht="14.4" customHeight="1">
      <c r="A545" s="432"/>
      <c r="B545" s="593" t="s">
        <v>1538</v>
      </c>
      <c r="C545" s="178"/>
      <c r="D545" s="178"/>
      <c r="E545" s="178"/>
      <c r="F545" s="178"/>
      <c r="G545" s="178"/>
      <c r="H545" s="431"/>
      <c r="I545" s="90"/>
      <c r="J545" s="1"/>
      <c r="K545" s="1148"/>
      <c r="L545" s="90"/>
    </row>
    <row r="546" spans="1:12" s="5" customFormat="1" ht="13.2">
      <c r="A546" s="432"/>
      <c r="B546" s="593" t="s">
        <v>2185</v>
      </c>
      <c r="C546" s="343"/>
      <c r="D546" s="343"/>
      <c r="E546" s="343"/>
      <c r="F546" s="343"/>
      <c r="G546" s="343"/>
      <c r="H546" s="431"/>
      <c r="I546" s="90"/>
      <c r="J546" s="1147"/>
      <c r="K546" s="700"/>
    </row>
    <row r="547" spans="1:12" s="5" customFormat="1" ht="13.2">
      <c r="A547" s="432"/>
      <c r="B547" s="593" t="s">
        <v>2720</v>
      </c>
      <c r="C547" s="343"/>
      <c r="D547" s="343"/>
      <c r="E547" s="343"/>
      <c r="F547" s="343"/>
      <c r="G547" s="343"/>
      <c r="H547" s="431"/>
      <c r="I547" s="90"/>
      <c r="J547" s="1147"/>
      <c r="K547" s="700"/>
    </row>
    <row r="548" spans="1:12" s="5" customFormat="1">
      <c r="A548" s="432"/>
      <c r="B548" s="343"/>
      <c r="C548" s="168"/>
      <c r="D548" s="233" t="s">
        <v>3</v>
      </c>
      <c r="E548" s="220"/>
      <c r="F548" s="168"/>
      <c r="G548" s="175"/>
      <c r="H548" s="431"/>
      <c r="I548" s="90"/>
      <c r="J548" s="1147"/>
      <c r="K548" s="700"/>
    </row>
    <row r="549" spans="1:12" s="5" customFormat="1" ht="16.8">
      <c r="A549" s="432"/>
      <c r="B549" s="168" t="s">
        <v>172</v>
      </c>
      <c r="C549" s="168" t="s">
        <v>80</v>
      </c>
      <c r="D549" s="1773">
        <v>6.0786E+18</v>
      </c>
      <c r="E549" s="220" t="s">
        <v>2312</v>
      </c>
      <c r="F549" s="168"/>
      <c r="G549" s="242"/>
      <c r="H549" s="431"/>
      <c r="I549" s="90"/>
      <c r="J549" s="1147"/>
      <c r="K549" s="700"/>
    </row>
    <row r="550" spans="1:12" s="5" customFormat="1" ht="13.8">
      <c r="A550" s="432"/>
      <c r="B550" s="168" t="s">
        <v>173</v>
      </c>
      <c r="C550" s="168" t="s">
        <v>1</v>
      </c>
      <c r="D550" s="261">
        <v>5500</v>
      </c>
      <c r="E550" s="220" t="s">
        <v>2719</v>
      </c>
      <c r="F550" s="269">
        <f>D550+273</f>
        <v>5773</v>
      </c>
      <c r="G550" s="225" t="s">
        <v>81</v>
      </c>
      <c r="H550" s="431"/>
      <c r="I550" s="90"/>
      <c r="J550" s="1147"/>
      <c r="K550" s="700"/>
    </row>
    <row r="551" spans="1:12" s="5" customFormat="1">
      <c r="A551" s="432"/>
      <c r="B551" s="168" t="s">
        <v>174</v>
      </c>
      <c r="C551" s="168" t="s">
        <v>209</v>
      </c>
      <c r="D551" s="261">
        <v>1</v>
      </c>
      <c r="E551" s="220"/>
      <c r="F551" s="168"/>
      <c r="G551" s="178"/>
      <c r="H551" s="412"/>
      <c r="I551" s="90"/>
      <c r="J551" s="1147"/>
      <c r="K551"/>
    </row>
    <row r="552" spans="1:12" s="5" customFormat="1" ht="18.600000000000001" customHeight="1">
      <c r="A552" s="432"/>
      <c r="B552" s="678" t="s">
        <v>57</v>
      </c>
      <c r="C552" s="180" t="s">
        <v>2721</v>
      </c>
      <c r="D552" s="178"/>
      <c r="E552" s="173"/>
      <c r="F552" s="167"/>
      <c r="G552" s="178"/>
      <c r="H552" s="412"/>
      <c r="I552" s="90"/>
      <c r="J552" s="1147"/>
      <c r="K552" s="700"/>
    </row>
    <row r="553" spans="1:12" ht="15" customHeight="1">
      <c r="A553" s="414"/>
      <c r="B553" s="691"/>
      <c r="C553" s="184" t="s">
        <v>2045</v>
      </c>
      <c r="D553" s="1774"/>
      <c r="E553" s="1270"/>
      <c r="F553" s="1299"/>
      <c r="G553" s="1774"/>
      <c r="H553" s="430"/>
    </row>
    <row r="554" spans="1:12" ht="14.4" customHeight="1">
      <c r="A554" s="414"/>
      <c r="B554" s="1935" t="s">
        <v>2245</v>
      </c>
      <c r="C554" s="167"/>
      <c r="D554" s="233" t="s">
        <v>4</v>
      </c>
      <c r="E554" s="173"/>
      <c r="F554" s="167"/>
      <c r="G554" s="178"/>
      <c r="H554" s="430"/>
    </row>
    <row r="555" spans="1:12" s="1" customFormat="1">
      <c r="A555" s="429"/>
      <c r="B555" s="168" t="s">
        <v>83</v>
      </c>
      <c r="C555" s="168" t="s">
        <v>82</v>
      </c>
      <c r="D555" s="1370">
        <f>(POWER((F550),4))*D33*D549*D551</f>
        <v>3.8284545140993893E+26</v>
      </c>
      <c r="E555" s="220" t="s">
        <v>2313</v>
      </c>
      <c r="F555" s="167"/>
      <c r="G555" s="80"/>
      <c r="H555" s="430"/>
      <c r="I555" s="89"/>
      <c r="J555" s="1147"/>
      <c r="K555" s="700"/>
      <c r="L555" s="5"/>
    </row>
    <row r="556" spans="1:12" s="1" customFormat="1">
      <c r="A556" s="429"/>
      <c r="B556" s="168" t="s">
        <v>84</v>
      </c>
      <c r="C556" s="168" t="s">
        <v>61</v>
      </c>
      <c r="D556" s="1772">
        <f>D555</f>
        <v>3.8284545140993893E+26</v>
      </c>
      <c r="E556" s="220" t="s">
        <v>2314</v>
      </c>
      <c r="F556" s="167"/>
      <c r="G556" s="1229"/>
      <c r="H556" s="430"/>
      <c r="I556" s="89"/>
      <c r="J556" s="1147"/>
      <c r="K556" s="700"/>
      <c r="L556" s="5"/>
    </row>
    <row r="557" spans="1:12" s="76" customFormat="1" ht="15.6" customHeight="1">
      <c r="A557" s="1928"/>
      <c r="B557" s="1931" t="s">
        <v>2657</v>
      </c>
      <c r="C557" s="1929"/>
      <c r="D557" s="1929"/>
      <c r="E557" s="1929"/>
      <c r="F557" s="1929"/>
      <c r="G557" s="1869" t="s">
        <v>2126</v>
      </c>
      <c r="H557" s="1930"/>
      <c r="I557" s="93"/>
      <c r="J557" s="1282"/>
      <c r="K557" s="705"/>
    </row>
    <row r="558" spans="1:12">
      <c r="A558" s="43"/>
      <c r="B558" s="4"/>
    </row>
    <row r="559" spans="1:12">
      <c r="A559" s="43"/>
      <c r="B559" s="4"/>
    </row>
    <row r="560" spans="1:12">
      <c r="A560" s="43"/>
      <c r="C560"/>
    </row>
    <row r="561" spans="1:6">
      <c r="A561" s="43"/>
      <c r="C561"/>
      <c r="F561"/>
    </row>
    <row r="562" spans="1:6">
      <c r="A562" s="43"/>
      <c r="B562" s="4"/>
      <c r="C562"/>
    </row>
    <row r="563" spans="1:6">
      <c r="A563" s="43"/>
      <c r="B563" s="4"/>
    </row>
    <row r="564" spans="1:6">
      <c r="A564" s="43"/>
      <c r="B564" s="4"/>
    </row>
    <row r="565" spans="1:6">
      <c r="A565" s="43"/>
      <c r="B565" s="4"/>
    </row>
    <row r="566" spans="1:6">
      <c r="A566" s="43"/>
      <c r="B566" s="4"/>
    </row>
    <row r="567" spans="1:6">
      <c r="A567" s="43"/>
      <c r="B567" s="4"/>
    </row>
    <row r="568" spans="1:6">
      <c r="A568" s="4"/>
      <c r="B568" s="4"/>
    </row>
    <row r="569" spans="1:6">
      <c r="A569" s="4"/>
      <c r="B569" s="4"/>
    </row>
    <row r="570" spans="1:6">
      <c r="A570" s="4"/>
      <c r="B570" s="4"/>
    </row>
    <row r="571" spans="1:6">
      <c r="A571" s="4"/>
      <c r="B571" s="4"/>
    </row>
    <row r="572" spans="1:6">
      <c r="A572" s="4"/>
      <c r="B572" s="4"/>
    </row>
    <row r="573" spans="1:6">
      <c r="A573" s="4"/>
      <c r="B573" s="4"/>
    </row>
    <row r="574" spans="1:6">
      <c r="A574" s="4"/>
      <c r="B574" s="4"/>
    </row>
    <row r="575" spans="1:6">
      <c r="A575" s="4"/>
      <c r="B575" s="4"/>
    </row>
    <row r="576" spans="1:6">
      <c r="A576" s="4"/>
      <c r="B576" s="4"/>
    </row>
  </sheetData>
  <sheetProtection password="CEBA" sheet="1" objects="1" scenarios="1"/>
  <hyperlinks>
    <hyperlink ref="B172" r:id="rId1"/>
    <hyperlink ref="B471" r:id="rId2" display="https://www.youtube.com/watch?v=JNYzSY-fjCE"/>
    <hyperlink ref="C116" r:id="rId3"/>
    <hyperlink ref="G133" r:id="rId4"/>
    <hyperlink ref="G165" r:id="rId5"/>
    <hyperlink ref="G383" r:id="rId6"/>
    <hyperlink ref="B392" r:id="rId7" display="https://www.youtube.com/watch?v=pBekV7dXdfY"/>
    <hyperlink ref="B470" r:id="rId8" display="https://www.youtube.com/watch?v=3ohjOltaO6Y"/>
    <hyperlink ref="B422" r:id="rId9" display="https://www.youtube.com/watch?v=7BV0Fs4eM0I"/>
    <hyperlink ref="B421" r:id="rId10" display="https://www.youtube.com/watch?v=FwNV_e-Xz68"/>
    <hyperlink ref="G374" r:id="rId11"/>
    <hyperlink ref="B14" r:id="rId12" display="https://www.youtube.com/watch?v=KrgD7FmFUnE"/>
    <hyperlink ref="G332" r:id="rId13"/>
    <hyperlink ref="G377" r:id="rId14"/>
    <hyperlink ref="G380" r:id="rId15"/>
    <hyperlink ref="B500" r:id="rId16"/>
    <hyperlink ref="B367" r:id="rId17" display="https://www.youtube.com/watch?v=_oN3HJCY6RA"/>
    <hyperlink ref="B105" r:id="rId18" display="https://www.youtube.com/watch?v=fkCtO1aakhY"/>
    <hyperlink ref="B376" r:id="rId19"/>
    <hyperlink ref="B15" r:id="rId20" display="https://www.youtube.com/watch?v=Ue3EfnzfMa8"/>
    <hyperlink ref="B385" r:id="rId21"/>
    <hyperlink ref="G386" r:id="rId22"/>
    <hyperlink ref="B374" r:id="rId23" display="https://www.youtube.com/watch?v=L4pS2tBa7xU"/>
    <hyperlink ref="G155" r:id="rId24"/>
  </hyperlinks>
  <pageMargins left="0" right="0" top="0" bottom="0" header="0" footer="0"/>
  <pageSetup paperSize="9" orientation="landscape" r:id="rId25"/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zoomScaleNormal="100" workbookViewId="0">
      <selection activeCell="O10" sqref="O10"/>
    </sheetView>
  </sheetViews>
  <sheetFormatPr baseColWidth="10" defaultRowHeight="14.4"/>
  <cols>
    <col min="1" max="1" width="1.44140625" customWidth="1"/>
    <col min="2" max="2" width="14.77734375" style="19" customWidth="1"/>
    <col min="3" max="4" width="12.77734375" style="22" customWidth="1"/>
    <col min="5" max="10" width="14.33203125" style="3" customWidth="1"/>
    <col min="11" max="11" width="14.77734375" style="3" customWidth="1"/>
    <col min="12" max="12" width="1.44140625" style="3" customWidth="1"/>
    <col min="13" max="13" width="14.44140625" style="3" customWidth="1"/>
    <col min="14" max="14" width="14.6640625" style="3" customWidth="1"/>
    <col min="16" max="16" width="11.44140625" customWidth="1"/>
  </cols>
  <sheetData>
    <row r="1" spans="1:17">
      <c r="A1" s="485"/>
      <c r="B1" s="878"/>
      <c r="C1" s="645"/>
      <c r="D1" s="645"/>
      <c r="E1" s="391"/>
      <c r="F1" s="391"/>
      <c r="G1" s="391"/>
      <c r="H1" s="391"/>
      <c r="I1" s="391"/>
      <c r="J1" s="391"/>
      <c r="K1" s="872"/>
      <c r="L1" s="910" t="s">
        <v>269</v>
      </c>
    </row>
    <row r="2" spans="1:17">
      <c r="A2" s="414"/>
      <c r="B2" s="100"/>
      <c r="C2" s="112"/>
      <c r="D2" s="112"/>
      <c r="E2" s="99"/>
      <c r="F2" s="99"/>
      <c r="G2" s="99"/>
      <c r="H2" s="99"/>
      <c r="I2" s="99"/>
      <c r="J2" s="99"/>
      <c r="K2" s="99"/>
      <c r="L2" s="490"/>
    </row>
    <row r="3" spans="1:17" ht="15" customHeight="1">
      <c r="A3" s="414"/>
      <c r="B3" s="349" t="s">
        <v>807</v>
      </c>
      <c r="C3" s="112"/>
      <c r="D3" s="112"/>
      <c r="E3" s="99"/>
      <c r="F3" s="99"/>
      <c r="G3" s="99"/>
      <c r="H3" s="99"/>
      <c r="I3" s="99"/>
      <c r="J3" s="99"/>
      <c r="K3" s="667"/>
      <c r="L3" s="490"/>
    </row>
    <row r="4" spans="1:17" ht="15" customHeight="1">
      <c r="A4" s="414"/>
      <c r="B4" s="349" t="s">
        <v>808</v>
      </c>
      <c r="C4" s="123" t="s">
        <v>2429</v>
      </c>
      <c r="D4" s="112"/>
      <c r="E4" s="647"/>
      <c r="F4" s="99"/>
      <c r="G4" s="99"/>
      <c r="H4" s="99"/>
      <c r="I4" s="99"/>
      <c r="J4" s="99"/>
      <c r="K4" s="99"/>
      <c r="L4" s="490"/>
    </row>
    <row r="5" spans="1:17" ht="15.6" customHeight="1">
      <c r="A5" s="414"/>
      <c r="B5" s="349"/>
      <c r="C5" s="646"/>
      <c r="D5" s="112"/>
      <c r="E5" s="647"/>
      <c r="F5" s="99"/>
      <c r="G5" s="99"/>
      <c r="H5" s="99"/>
      <c r="I5" s="99"/>
      <c r="J5" s="99"/>
      <c r="K5" s="99"/>
      <c r="L5" s="490"/>
      <c r="M5" s="626"/>
      <c r="N5" s="626"/>
      <c r="O5" s="4"/>
      <c r="P5" s="4"/>
      <c r="Q5" s="4"/>
    </row>
    <row r="6" spans="1:17" s="3" customFormat="1" ht="15.6" customHeight="1">
      <c r="A6" s="394"/>
      <c r="B6" s="492" t="s">
        <v>696</v>
      </c>
      <c r="C6" s="1418" t="s">
        <v>2712</v>
      </c>
      <c r="D6" s="1417"/>
      <c r="E6" s="99"/>
      <c r="F6" s="99"/>
      <c r="G6" s="99"/>
      <c r="H6" s="99"/>
      <c r="I6" s="99"/>
      <c r="J6" s="99"/>
      <c r="K6" s="99"/>
      <c r="L6" s="490"/>
      <c r="M6" s="626"/>
      <c r="N6" s="909"/>
      <c r="O6" s="600"/>
      <c r="P6" s="626"/>
      <c r="Q6" s="626"/>
    </row>
    <row r="7" spans="1:17" s="78" customFormat="1" ht="16.2" customHeight="1">
      <c r="A7" s="505"/>
      <c r="B7" s="108"/>
      <c r="C7" s="1419" t="s">
        <v>2641</v>
      </c>
      <c r="D7" s="1420"/>
      <c r="E7" s="99"/>
      <c r="F7" s="99"/>
      <c r="G7" s="99"/>
      <c r="H7" s="99"/>
      <c r="I7" s="99"/>
      <c r="J7" s="99"/>
      <c r="K7" s="99"/>
      <c r="L7" s="787"/>
      <c r="M7" s="995"/>
      <c r="N7" s="909"/>
      <c r="O7" s="600"/>
      <c r="P7" s="995"/>
      <c r="Q7" s="995"/>
    </row>
    <row r="8" spans="1:17" s="3" customFormat="1" ht="15.6" customHeight="1">
      <c r="A8" s="394"/>
      <c r="B8" s="108"/>
      <c r="C8" s="1418" t="s">
        <v>2644</v>
      </c>
      <c r="D8" s="1417"/>
      <c r="E8" s="507"/>
      <c r="F8" s="507"/>
      <c r="G8" s="507"/>
      <c r="H8" s="507"/>
      <c r="I8" s="507"/>
      <c r="J8" s="507"/>
      <c r="K8" s="507"/>
      <c r="L8" s="490"/>
      <c r="M8" s="626"/>
      <c r="N8" s="909"/>
      <c r="O8" s="600"/>
      <c r="P8" s="626"/>
      <c r="Q8" s="626"/>
    </row>
    <row r="9" spans="1:17" s="3" customFormat="1" ht="15.6" customHeight="1">
      <c r="A9" s="394"/>
      <c r="B9" s="108"/>
      <c r="C9" s="1418" t="s">
        <v>2643</v>
      </c>
      <c r="D9" s="1417"/>
      <c r="E9" s="99"/>
      <c r="F9" s="99"/>
      <c r="G9" s="99"/>
      <c r="H9" s="99"/>
      <c r="I9" s="99"/>
      <c r="J9" s="99"/>
      <c r="K9" s="99"/>
      <c r="L9" s="490"/>
      <c r="M9" s="626"/>
      <c r="N9" s="909"/>
      <c r="O9" s="600"/>
      <c r="P9" s="626"/>
      <c r="Q9" s="626"/>
    </row>
    <row r="10" spans="1:17" s="3" customFormat="1" ht="15.6" customHeight="1">
      <c r="A10" s="394"/>
      <c r="B10" s="108"/>
      <c r="C10" s="1418" t="s">
        <v>2642</v>
      </c>
      <c r="D10" s="1417"/>
      <c r="E10" s="99"/>
      <c r="F10" s="99"/>
      <c r="G10" s="99"/>
      <c r="H10" s="99"/>
      <c r="I10" s="99"/>
      <c r="J10" s="99"/>
      <c r="K10" s="99"/>
      <c r="L10" s="490"/>
      <c r="M10" s="626"/>
      <c r="N10" s="909"/>
      <c r="O10" s="600"/>
      <c r="P10" s="626"/>
      <c r="Q10" s="626"/>
    </row>
    <row r="11" spans="1:17" s="3" customFormat="1" ht="15.6" customHeight="1">
      <c r="A11" s="394"/>
      <c r="B11" s="108"/>
      <c r="C11" s="1418" t="s">
        <v>2554</v>
      </c>
      <c r="D11" s="1417"/>
      <c r="E11" s="99"/>
      <c r="F11" s="99"/>
      <c r="G11" s="99"/>
      <c r="H11" s="99"/>
      <c r="I11" s="99"/>
      <c r="J11" s="99"/>
      <c r="K11" s="99"/>
      <c r="L11" s="490"/>
      <c r="M11" s="626"/>
      <c r="N11"/>
      <c r="O11" s="600"/>
      <c r="P11" s="626"/>
      <c r="Q11" s="626"/>
    </row>
    <row r="12" spans="1:17" s="3" customFormat="1" ht="15.6" customHeight="1">
      <c r="A12" s="394"/>
      <c r="B12" s="108"/>
      <c r="C12" s="1418" t="s">
        <v>2555</v>
      </c>
      <c r="D12" s="1417"/>
      <c r="E12" s="99"/>
      <c r="F12" s="99"/>
      <c r="G12" s="99"/>
      <c r="H12" s="99"/>
      <c r="I12" s="99"/>
      <c r="J12" s="99"/>
      <c r="K12" s="99"/>
      <c r="L12" s="490"/>
      <c r="M12" s="626"/>
      <c r="N12" s="1421"/>
      <c r="O12" s="600"/>
      <c r="P12" s="626"/>
      <c r="Q12" s="626"/>
    </row>
    <row r="13" spans="1:17" s="3" customFormat="1" ht="15.6" customHeight="1">
      <c r="A13" s="394"/>
      <c r="B13" s="108"/>
      <c r="C13" s="1418" t="s">
        <v>2931</v>
      </c>
      <c r="D13" s="1417"/>
      <c r="E13" s="99"/>
      <c r="F13" s="99"/>
      <c r="G13" s="99"/>
      <c r="H13" s="99"/>
      <c r="I13" s="99"/>
      <c r="J13" s="99"/>
      <c r="K13" s="99"/>
      <c r="L13" s="490"/>
      <c r="M13" s="909"/>
      <c r="N13" s="909"/>
      <c r="O13" s="600"/>
      <c r="P13" s="626"/>
      <c r="Q13" s="626"/>
    </row>
    <row r="14" spans="1:17" s="3" customFormat="1" ht="15.6" customHeight="1">
      <c r="A14" s="394"/>
      <c r="B14" s="326"/>
      <c r="C14" s="1418" t="s">
        <v>2932</v>
      </c>
      <c r="D14" s="1417"/>
      <c r="E14" s="99"/>
      <c r="F14" s="99"/>
      <c r="G14" s="99"/>
      <c r="H14" s="99"/>
      <c r="I14" s="99"/>
      <c r="J14" s="99"/>
      <c r="K14" s="99"/>
      <c r="L14" s="490"/>
      <c r="M14" s="909"/>
      <c r="N14" s="909"/>
      <c r="O14" s="600"/>
      <c r="P14" s="626"/>
      <c r="Q14" s="626"/>
    </row>
    <row r="15" spans="1:17" s="3" customFormat="1" ht="15.6" customHeight="1">
      <c r="A15" s="394"/>
      <c r="B15" s="326"/>
      <c r="D15" s="1417"/>
      <c r="E15" s="99"/>
      <c r="F15" s="99"/>
      <c r="G15" s="99"/>
      <c r="H15" s="99"/>
      <c r="I15" s="99"/>
      <c r="J15" s="99"/>
      <c r="K15" s="99"/>
      <c r="L15" s="490"/>
      <c r="M15" s="909"/>
      <c r="N15" s="1422"/>
      <c r="O15" s="600"/>
      <c r="P15" s="626"/>
      <c r="Q15" s="626"/>
    </row>
    <row r="16" spans="1:17" s="3" customFormat="1" ht="15.6" customHeight="1">
      <c r="A16" s="394"/>
      <c r="B16" s="326"/>
      <c r="C16" s="1418"/>
      <c r="D16" s="1417"/>
      <c r="E16" s="99"/>
      <c r="F16" s="99"/>
      <c r="G16" s="99"/>
      <c r="H16" s="2324" t="s">
        <v>2711</v>
      </c>
      <c r="I16" s="99"/>
      <c r="J16" s="99"/>
      <c r="K16" s="99"/>
      <c r="L16" s="490"/>
      <c r="M16" s="909"/>
      <c r="N16" s="1422"/>
      <c r="O16" s="600"/>
      <c r="P16" s="626"/>
      <c r="Q16" s="626"/>
    </row>
    <row r="17" spans="1:18" s="1255" customFormat="1" ht="11.4">
      <c r="A17" s="2429"/>
      <c r="B17" s="2430"/>
      <c r="C17" s="2431"/>
      <c r="D17" s="2432"/>
      <c r="E17" s="1767"/>
      <c r="F17" s="1767"/>
      <c r="G17" s="1767"/>
      <c r="H17" s="2436" t="s">
        <v>2941</v>
      </c>
      <c r="I17" s="1767"/>
      <c r="J17" s="1767"/>
      <c r="K17" s="1767"/>
      <c r="L17" s="2433"/>
      <c r="M17" s="2434"/>
      <c r="N17" s="2435"/>
      <c r="O17" s="2435"/>
      <c r="P17" s="2435"/>
      <c r="Q17" s="2435"/>
    </row>
    <row r="18" spans="1:18">
      <c r="A18" s="414"/>
      <c r="B18" s="100"/>
      <c r="C18" s="1417"/>
      <c r="D18" s="112"/>
      <c r="E18" s="99"/>
      <c r="F18" s="99"/>
      <c r="G18" s="99"/>
      <c r="H18" s="99"/>
      <c r="I18" s="99"/>
      <c r="J18" s="99"/>
      <c r="K18" s="99"/>
      <c r="L18" s="490"/>
      <c r="M18" s="626"/>
      <c r="N18" s="626"/>
      <c r="O18" s="4"/>
      <c r="P18" s="4"/>
      <c r="Q18" s="4"/>
    </row>
    <row r="19" spans="1:18">
      <c r="A19" s="414"/>
      <c r="B19" s="100"/>
      <c r="C19" s="112"/>
      <c r="D19" s="112"/>
      <c r="E19" s="99"/>
      <c r="F19" s="99"/>
      <c r="G19" s="99"/>
      <c r="H19" s="105" t="s">
        <v>329</v>
      </c>
      <c r="I19" s="99"/>
      <c r="J19" s="99"/>
      <c r="K19" s="99"/>
      <c r="L19" s="490"/>
      <c r="M19" s="626"/>
      <c r="N19" s="626"/>
      <c r="O19" s="4"/>
      <c r="P19" s="4"/>
      <c r="Q19" s="4"/>
    </row>
    <row r="20" spans="1:18" ht="15" customHeight="1">
      <c r="A20" s="414"/>
      <c r="B20" s="100"/>
      <c r="C20" s="112"/>
      <c r="D20" s="112"/>
      <c r="E20" s="99"/>
      <c r="F20" s="648" t="s">
        <v>336</v>
      </c>
      <c r="G20" s="224" t="s">
        <v>51</v>
      </c>
      <c r="H20" s="633">
        <v>299792458</v>
      </c>
      <c r="I20" s="468" t="s">
        <v>1833</v>
      </c>
      <c r="J20" s="99"/>
      <c r="K20" s="99"/>
      <c r="L20" s="490"/>
    </row>
    <row r="21" spans="1:18" ht="15" customHeight="1">
      <c r="A21" s="414"/>
      <c r="B21" s="100"/>
      <c r="C21" s="112"/>
      <c r="D21" s="112"/>
      <c r="E21" s="99"/>
      <c r="F21" s="648" t="s">
        <v>181</v>
      </c>
      <c r="G21" s="224" t="s">
        <v>673</v>
      </c>
      <c r="H21" s="95">
        <v>6.6742799999999995E-11</v>
      </c>
      <c r="I21" s="468" t="s">
        <v>719</v>
      </c>
      <c r="J21" s="99"/>
      <c r="K21" s="99"/>
      <c r="L21" s="490"/>
    </row>
    <row r="22" spans="1:18" ht="16.2" customHeight="1">
      <c r="A22" s="414"/>
      <c r="B22" s="100"/>
      <c r="C22" s="112"/>
      <c r="D22" s="112"/>
      <c r="E22" s="99"/>
      <c r="F22" s="343"/>
      <c r="G22" s="99"/>
      <c r="H22" s="650"/>
      <c r="I22" s="99" t="s">
        <v>2348</v>
      </c>
      <c r="J22" s="99"/>
      <c r="K22" s="99"/>
      <c r="L22" s="490"/>
      <c r="N22"/>
    </row>
    <row r="23" spans="1:18" ht="16.2" customHeight="1">
      <c r="A23" s="414"/>
      <c r="B23" s="100"/>
      <c r="C23" s="112"/>
      <c r="D23" s="112"/>
      <c r="E23" s="2099" t="s">
        <v>480</v>
      </c>
      <c r="F23" s="99"/>
      <c r="G23" s="99"/>
      <c r="H23" s="99"/>
      <c r="I23" s="99"/>
      <c r="J23" s="99"/>
      <c r="K23" s="99"/>
      <c r="L23" s="490"/>
    </row>
    <row r="24" spans="1:18">
      <c r="A24" s="414"/>
      <c r="B24" s="100"/>
      <c r="C24" s="112"/>
      <c r="D24" s="112"/>
      <c r="E24" s="99"/>
      <c r="F24" s="343"/>
      <c r="G24" s="99"/>
      <c r="H24" s="105" t="s">
        <v>3</v>
      </c>
      <c r="I24" s="99"/>
      <c r="J24" s="99"/>
      <c r="K24" s="99"/>
      <c r="L24" s="490"/>
      <c r="N24"/>
    </row>
    <row r="25" spans="1:18" ht="15.75" customHeight="1">
      <c r="A25" s="414"/>
      <c r="B25" s="100"/>
      <c r="C25" s="112"/>
      <c r="D25" s="112"/>
      <c r="E25" s="99"/>
      <c r="F25" s="648" t="s">
        <v>694</v>
      </c>
      <c r="G25" s="506" t="s">
        <v>55</v>
      </c>
      <c r="H25" s="258">
        <v>100</v>
      </c>
      <c r="I25" s="108" t="s">
        <v>680</v>
      </c>
      <c r="J25" s="99"/>
      <c r="K25" s="99"/>
      <c r="L25" s="490"/>
    </row>
    <row r="26" spans="1:18" ht="14.4" customHeight="1">
      <c r="A26" s="414"/>
      <c r="B26" s="100"/>
      <c r="C26" s="112"/>
      <c r="D26" s="112"/>
      <c r="E26" s="108"/>
      <c r="F26" s="648" t="s">
        <v>2550</v>
      </c>
      <c r="G26" s="506" t="s">
        <v>1906</v>
      </c>
      <c r="H26" s="339">
        <v>1.8</v>
      </c>
      <c r="I26" s="108" t="s">
        <v>681</v>
      </c>
      <c r="J26" s="99"/>
      <c r="K26" s="99"/>
      <c r="L26" s="490"/>
    </row>
    <row r="27" spans="1:18" ht="14.4" customHeight="1">
      <c r="A27" s="414"/>
      <c r="B27" s="100"/>
      <c r="C27" s="112"/>
      <c r="D27" s="112"/>
      <c r="E27" s="108"/>
      <c r="F27" s="648" t="s">
        <v>2551</v>
      </c>
      <c r="G27" s="224" t="s">
        <v>14</v>
      </c>
      <c r="H27" s="267">
        <v>5.9720000000000003E+24</v>
      </c>
      <c r="I27" s="468" t="s">
        <v>680</v>
      </c>
      <c r="J27" s="99"/>
      <c r="K27" s="99"/>
      <c r="L27" s="490"/>
      <c r="N27"/>
    </row>
    <row r="28" spans="1:18" ht="14.4" customHeight="1">
      <c r="A28" s="414"/>
      <c r="B28" s="100"/>
      <c r="C28" s="112"/>
      <c r="D28" s="112"/>
      <c r="E28" s="108"/>
      <c r="F28" s="648" t="s">
        <v>1893</v>
      </c>
      <c r="G28" s="224" t="s">
        <v>66</v>
      </c>
      <c r="H28" s="260">
        <v>6373</v>
      </c>
      <c r="I28" s="924" t="s">
        <v>1018</v>
      </c>
      <c r="J28" s="649"/>
      <c r="K28" s="99"/>
      <c r="L28" s="490"/>
    </row>
    <row r="29" spans="1:18" ht="14.4" customHeight="1">
      <c r="A29" s="414"/>
      <c r="B29" s="100"/>
      <c r="C29" s="112"/>
      <c r="D29" s="112"/>
      <c r="E29" s="108"/>
      <c r="F29" s="648" t="s">
        <v>872</v>
      </c>
      <c r="G29" s="506" t="s">
        <v>1905</v>
      </c>
      <c r="H29" s="339">
        <v>1</v>
      </c>
      <c r="I29" s="108" t="s">
        <v>692</v>
      </c>
      <c r="J29" s="99"/>
      <c r="K29" s="99"/>
      <c r="L29" s="490"/>
      <c r="M29" s="626"/>
      <c r="N29" s="626"/>
      <c r="O29" s="4"/>
      <c r="P29" s="4"/>
      <c r="Q29" s="4"/>
      <c r="R29" s="4"/>
    </row>
    <row r="30" spans="1:18" ht="14.4" customHeight="1">
      <c r="A30" s="414"/>
      <c r="B30" s="100"/>
      <c r="C30" s="112"/>
      <c r="D30" s="112"/>
      <c r="E30" s="108"/>
      <c r="F30" s="648" t="s">
        <v>1903</v>
      </c>
      <c r="G30" s="506" t="s">
        <v>722</v>
      </c>
      <c r="H30" s="339">
        <v>550</v>
      </c>
      <c r="I30" s="108" t="s">
        <v>685</v>
      </c>
      <c r="J30" s="760"/>
      <c r="K30" s="99"/>
      <c r="L30" s="490"/>
      <c r="M30" s="721"/>
      <c r="N30" s="626"/>
      <c r="O30" s="4"/>
      <c r="P30" s="4"/>
      <c r="Q30" s="4"/>
      <c r="R30" s="4"/>
    </row>
    <row r="31" spans="1:18" ht="14.4" customHeight="1">
      <c r="A31" s="414"/>
      <c r="B31" s="100"/>
      <c r="C31" s="112"/>
      <c r="D31" s="112"/>
      <c r="E31" s="108"/>
      <c r="F31" s="648" t="s">
        <v>1904</v>
      </c>
      <c r="G31" s="506" t="s">
        <v>687</v>
      </c>
      <c r="H31" s="1357">
        <f>H20*1000000000/H30</f>
        <v>545077196363636.37</v>
      </c>
      <c r="I31" s="108" t="s">
        <v>688</v>
      </c>
      <c r="J31" s="868"/>
      <c r="K31" s="99"/>
      <c r="L31" s="490"/>
      <c r="M31" s="626"/>
      <c r="N31" s="626"/>
      <c r="O31" s="4"/>
      <c r="P31" s="4"/>
      <c r="Q31" s="4"/>
      <c r="R31" s="4"/>
    </row>
    <row r="32" spans="1:18" ht="14.4" customHeight="1">
      <c r="A32" s="414"/>
      <c r="B32" s="638"/>
      <c r="C32" s="112"/>
      <c r="D32" s="112"/>
      <c r="E32" s="108"/>
      <c r="F32" s="648" t="s">
        <v>675</v>
      </c>
      <c r="G32" s="506" t="s">
        <v>192</v>
      </c>
      <c r="H32" s="1488">
        <f>2*H21*H27/POWER(H20,2)</f>
        <v>8.869779246450795E-3</v>
      </c>
      <c r="I32" s="108" t="s">
        <v>681</v>
      </c>
      <c r="J32" s="2210"/>
      <c r="K32" s="99"/>
      <c r="L32" s="490"/>
    </row>
    <row r="33" spans="1:18" ht="14.4" customHeight="1">
      <c r="A33" s="414"/>
      <c r="B33" s="273"/>
      <c r="C33" s="124"/>
      <c r="D33" s="112"/>
      <c r="E33" s="108"/>
      <c r="F33" s="1416"/>
      <c r="G33" s="506"/>
      <c r="H33" s="2290"/>
      <c r="I33" s="108"/>
      <c r="J33" s="868"/>
      <c r="K33" s="99"/>
      <c r="L33" s="490"/>
    </row>
    <row r="34" spans="1:18" ht="15" customHeight="1">
      <c r="A34" s="414"/>
      <c r="B34" s="122"/>
      <c r="C34" s="503"/>
      <c r="D34" s="112"/>
      <c r="E34" s="108"/>
      <c r="F34" s="1022"/>
      <c r="G34" s="1022"/>
      <c r="H34" s="1022"/>
      <c r="I34" s="1022"/>
      <c r="J34" s="1022"/>
      <c r="K34" s="1022"/>
      <c r="L34" s="490"/>
    </row>
    <row r="35" spans="1:18" ht="16.8" customHeight="1">
      <c r="A35" s="414"/>
      <c r="B35" s="2219"/>
      <c r="C35" s="953"/>
      <c r="D35" s="112"/>
      <c r="E35" s="99"/>
      <c r="F35" s="99"/>
      <c r="G35" s="99"/>
      <c r="H35" s="99"/>
      <c r="I35" s="99"/>
      <c r="J35" s="1022"/>
      <c r="K35" s="99"/>
      <c r="L35" s="490"/>
    </row>
    <row r="36" spans="1:18">
      <c r="A36" s="414"/>
      <c r="B36" s="2219" t="s">
        <v>2552</v>
      </c>
      <c r="C36" s="1063" t="s">
        <v>2938</v>
      </c>
      <c r="D36" s="112"/>
      <c r="E36" s="99"/>
      <c r="F36" s="99"/>
      <c r="G36" s="105"/>
      <c r="H36" s="105"/>
      <c r="I36" s="351"/>
      <c r="J36" s="351"/>
      <c r="K36" s="99"/>
      <c r="L36" s="490"/>
      <c r="M36" s="15"/>
    </row>
    <row r="37" spans="1:18">
      <c r="A37" s="389"/>
      <c r="B37" s="1144"/>
      <c r="C37" s="2428" t="s">
        <v>2939</v>
      </c>
      <c r="D37" s="584"/>
      <c r="E37" s="502"/>
      <c r="F37" s="502"/>
      <c r="G37" s="502"/>
      <c r="H37" s="502"/>
      <c r="I37" s="502"/>
      <c r="J37" s="502"/>
      <c r="K37" s="502"/>
      <c r="L37" s="1145"/>
      <c r="M37" s="623"/>
      <c r="N37" s="639"/>
      <c r="O37" s="639"/>
      <c r="P37" s="15"/>
      <c r="Q37" s="15"/>
      <c r="R37" s="15"/>
    </row>
    <row r="38" spans="1:18" ht="18" customHeight="1">
      <c r="A38" s="485"/>
      <c r="B38" s="2293" t="s">
        <v>2645</v>
      </c>
      <c r="C38" s="2098" t="s">
        <v>2940</v>
      </c>
      <c r="D38" s="645"/>
      <c r="E38" s="722"/>
      <c r="F38" s="2291"/>
      <c r="G38" s="645"/>
      <c r="H38" s="645"/>
      <c r="I38" s="645"/>
      <c r="J38" s="645"/>
      <c r="K38" s="2292"/>
      <c r="L38" s="910" t="s">
        <v>270</v>
      </c>
      <c r="M38" s="638"/>
      <c r="N38" s="3" t="s">
        <v>359</v>
      </c>
    </row>
    <row r="39" spans="1:18">
      <c r="A39" s="414"/>
      <c r="B39" s="1101" t="s">
        <v>1311</v>
      </c>
      <c r="C39" s="273" t="s">
        <v>2626</v>
      </c>
      <c r="D39" s="503"/>
      <c r="E39" s="273"/>
      <c r="F39" s="273"/>
      <c r="G39" s="349"/>
      <c r="H39" s="105"/>
      <c r="I39" s="105"/>
      <c r="J39" s="105"/>
      <c r="K39" s="105"/>
      <c r="L39" s="653"/>
      <c r="M39" s="638"/>
    </row>
    <row r="40" spans="1:18">
      <c r="A40" s="414"/>
      <c r="B40" s="2294"/>
      <c r="C40" s="503" t="s">
        <v>2625</v>
      </c>
      <c r="D40" s="112"/>
      <c r="E40" s="99"/>
      <c r="F40" s="99"/>
      <c r="G40" s="346"/>
      <c r="H40" s="105"/>
      <c r="I40" s="105"/>
      <c r="J40" s="105"/>
      <c r="K40" s="105"/>
      <c r="L40" s="653"/>
      <c r="M40" s="15"/>
    </row>
    <row r="41" spans="1:18">
      <c r="A41" s="414"/>
      <c r="B41" s="2295"/>
      <c r="C41" s="1423" t="s">
        <v>2627</v>
      </c>
      <c r="D41" s="112"/>
      <c r="E41" s="99"/>
      <c r="F41" s="99"/>
      <c r="G41" s="99"/>
      <c r="H41" s="99"/>
      <c r="I41" s="99"/>
      <c r="J41" s="99"/>
      <c r="K41" s="99"/>
      <c r="L41" s="653"/>
      <c r="M41" s="637"/>
    </row>
    <row r="42" spans="1:18">
      <c r="A42" s="414"/>
      <c r="B42" s="1101" t="s">
        <v>730</v>
      </c>
      <c r="C42" s="273" t="s">
        <v>2639</v>
      </c>
      <c r="D42" s="112"/>
      <c r="E42" s="99"/>
      <c r="F42" s="99"/>
      <c r="G42" s="99"/>
      <c r="H42" s="99"/>
      <c r="I42" s="99"/>
      <c r="J42" s="99"/>
      <c r="K42" s="99"/>
      <c r="L42" s="653"/>
    </row>
    <row r="43" spans="1:18">
      <c r="A43" s="414"/>
      <c r="B43" s="2296"/>
      <c r="C43" s="273" t="s">
        <v>2640</v>
      </c>
      <c r="D43" s="112"/>
      <c r="E43" s="99"/>
      <c r="F43" s="99"/>
      <c r="G43" s="100"/>
      <c r="H43" s="100"/>
      <c r="I43" s="100"/>
      <c r="J43" s="100"/>
      <c r="K43" s="100"/>
      <c r="L43" s="653"/>
      <c r="M43" s="19"/>
    </row>
    <row r="44" spans="1:18">
      <c r="A44" s="414"/>
      <c r="B44" s="2297" t="s">
        <v>731</v>
      </c>
      <c r="C44" s="651" t="s">
        <v>2667</v>
      </c>
      <c r="D44" s="112"/>
      <c r="E44" s="99"/>
      <c r="F44" s="99"/>
      <c r="G44" s="100"/>
      <c r="H44" s="100"/>
      <c r="I44" s="100"/>
      <c r="J44" s="100"/>
      <c r="K44" s="100"/>
      <c r="L44" s="653"/>
      <c r="M44" s="19"/>
    </row>
    <row r="45" spans="1:18">
      <c r="A45" s="414"/>
      <c r="B45" s="2297" t="s">
        <v>720</v>
      </c>
      <c r="C45" s="652" t="s">
        <v>2628</v>
      </c>
      <c r="D45" s="112"/>
      <c r="E45" s="99"/>
      <c r="F45" s="99"/>
      <c r="G45" s="100"/>
      <c r="H45" s="100"/>
      <c r="I45" s="100"/>
      <c r="J45" s="100"/>
      <c r="K45" s="100"/>
      <c r="L45" s="653"/>
      <c r="M45" s="19"/>
      <c r="N45"/>
    </row>
    <row r="46" spans="1:18">
      <c r="A46" s="414"/>
      <c r="B46" s="2298"/>
      <c r="C46" s="273" t="s">
        <v>2630</v>
      </c>
      <c r="D46" s="112"/>
      <c r="E46" s="99"/>
      <c r="F46" s="99"/>
      <c r="G46" s="99"/>
      <c r="H46" s="99"/>
      <c r="I46" s="99"/>
      <c r="J46" s="99"/>
      <c r="K46" s="99"/>
      <c r="L46" s="490"/>
    </row>
    <row r="47" spans="1:18">
      <c r="A47" s="414"/>
      <c r="B47" s="2297" t="s">
        <v>754</v>
      </c>
      <c r="C47" s="503" t="s">
        <v>2933</v>
      </c>
      <c r="D47" s="112"/>
      <c r="E47" s="99"/>
      <c r="F47" s="99"/>
      <c r="G47" s="99"/>
      <c r="H47" s="99"/>
      <c r="I47" s="99"/>
      <c r="J47" s="99"/>
      <c r="K47" s="99"/>
      <c r="L47" s="906"/>
      <c r="M47" s="641"/>
      <c r="N47"/>
      <c r="O47" s="638"/>
      <c r="P47" s="638"/>
      <c r="Q47" s="638"/>
    </row>
    <row r="48" spans="1:18">
      <c r="A48" s="414"/>
      <c r="B48" s="2297"/>
      <c r="C48" s="503" t="s">
        <v>2553</v>
      </c>
      <c r="D48" s="112"/>
      <c r="E48" s="99"/>
      <c r="F48" s="99"/>
      <c r="G48" s="99"/>
      <c r="H48" s="99"/>
      <c r="I48" s="99"/>
      <c r="J48" s="99"/>
      <c r="K48" s="99"/>
      <c r="L48" s="906"/>
      <c r="M48" s="641"/>
      <c r="N48"/>
      <c r="O48" s="2289"/>
      <c r="P48" s="638"/>
      <c r="Q48" s="638"/>
    </row>
    <row r="49" spans="1:17" ht="14.4" customHeight="1">
      <c r="A49" s="414"/>
      <c r="B49" s="2297" t="s">
        <v>755</v>
      </c>
      <c r="C49" s="651" t="s">
        <v>2569</v>
      </c>
      <c r="D49" s="112"/>
      <c r="E49" s="99"/>
      <c r="F49" s="99"/>
      <c r="G49" s="99"/>
      <c r="H49" s="99"/>
      <c r="I49" s="99"/>
      <c r="J49" s="99"/>
      <c r="K49" s="99"/>
      <c r="L49" s="906"/>
      <c r="M49" s="641"/>
      <c r="N49"/>
      <c r="O49" s="638"/>
      <c r="P49" s="638"/>
      <c r="Q49" s="638"/>
    </row>
    <row r="50" spans="1:17" ht="7.8" customHeight="1" thickBot="1">
      <c r="A50" s="414"/>
      <c r="B50" s="654"/>
      <c r="C50" s="112"/>
      <c r="D50" s="112"/>
      <c r="E50" s="99"/>
      <c r="F50" s="99"/>
      <c r="G50" s="99"/>
      <c r="H50" s="26"/>
      <c r="I50" s="99"/>
      <c r="J50" s="99"/>
      <c r="K50" s="903"/>
      <c r="L50" s="906"/>
      <c r="M50" s="641"/>
      <c r="N50" s="640"/>
      <c r="O50" s="638"/>
      <c r="P50" s="638"/>
      <c r="Q50" s="638"/>
    </row>
    <row r="51" spans="1:17" ht="14.4" customHeight="1" thickBot="1">
      <c r="A51" s="414"/>
      <c r="B51" s="654"/>
      <c r="C51" s="112"/>
      <c r="D51" s="112"/>
      <c r="E51" s="2220" t="s">
        <v>2668</v>
      </c>
      <c r="F51" s="124" t="s">
        <v>2669</v>
      </c>
      <c r="G51" s="99"/>
      <c r="H51" s="2221" t="s">
        <v>2668</v>
      </c>
      <c r="I51" s="273" t="s">
        <v>2631</v>
      </c>
      <c r="J51" s="99"/>
      <c r="K51" s="99"/>
      <c r="L51" s="906"/>
      <c r="M51"/>
      <c r="N51" s="640"/>
      <c r="O51" s="638"/>
      <c r="P51" s="638"/>
      <c r="Q51" s="638"/>
    </row>
    <row r="52" spans="1:17" ht="15.6" customHeight="1">
      <c r="A52" s="414"/>
      <c r="B52" s="977"/>
      <c r="C52" s="767"/>
      <c r="D52" s="978"/>
      <c r="E52" s="2158"/>
      <c r="F52" s="2155"/>
      <c r="G52" s="2156" t="s">
        <v>2504</v>
      </c>
      <c r="H52" s="2157"/>
      <c r="I52" s="2154"/>
      <c r="J52" s="2154"/>
      <c r="K52" s="99"/>
      <c r="L52" s="906"/>
      <c r="M52" s="641"/>
      <c r="N52"/>
      <c r="P52" s="638"/>
      <c r="Q52" s="638"/>
    </row>
    <row r="53" spans="1:17" ht="15.6" customHeight="1">
      <c r="A53" s="414"/>
      <c r="B53" s="2299" t="s">
        <v>113</v>
      </c>
      <c r="C53" s="2299" t="s">
        <v>114</v>
      </c>
      <c r="D53" s="2300" t="s">
        <v>115</v>
      </c>
      <c r="E53" s="2301" t="s">
        <v>116</v>
      </c>
      <c r="F53" s="2299" t="s">
        <v>117</v>
      </c>
      <c r="G53" s="2302" t="s">
        <v>118</v>
      </c>
      <c r="H53" s="2303" t="s">
        <v>119</v>
      </c>
      <c r="I53" s="2299" t="s">
        <v>721</v>
      </c>
      <c r="J53" s="2304" t="s">
        <v>725</v>
      </c>
      <c r="K53" s="2299" t="s">
        <v>36</v>
      </c>
      <c r="L53" s="906"/>
      <c r="M53" s="641"/>
      <c r="O53" s="638"/>
      <c r="P53" s="638"/>
      <c r="Q53" s="638"/>
    </row>
    <row r="54" spans="1:17" ht="15" customHeight="1">
      <c r="A54" s="414"/>
      <c r="B54" s="127" t="s">
        <v>2629</v>
      </c>
      <c r="C54" s="785" t="s">
        <v>590</v>
      </c>
      <c r="D54" s="127" t="s">
        <v>2564</v>
      </c>
      <c r="E54" s="127" t="s">
        <v>759</v>
      </c>
      <c r="F54" s="127" t="s">
        <v>750</v>
      </c>
      <c r="G54" s="127" t="s">
        <v>708</v>
      </c>
      <c r="H54" s="127" t="s">
        <v>709</v>
      </c>
      <c r="I54" s="127" t="s">
        <v>708</v>
      </c>
      <c r="J54" s="127" t="s">
        <v>709</v>
      </c>
      <c r="K54" s="127" t="s">
        <v>2566</v>
      </c>
      <c r="L54" s="906"/>
      <c r="M54" s="641"/>
      <c r="N54"/>
      <c r="O54" s="638"/>
      <c r="P54" s="638"/>
      <c r="Q54" s="638"/>
    </row>
    <row r="55" spans="1:17" ht="15" customHeight="1">
      <c r="A55" s="414"/>
      <c r="B55" s="785" t="s">
        <v>2428</v>
      </c>
      <c r="C55" s="785" t="s">
        <v>1199</v>
      </c>
      <c r="D55" s="785" t="s">
        <v>2565</v>
      </c>
      <c r="E55" s="785" t="s">
        <v>760</v>
      </c>
      <c r="F55" s="785" t="s">
        <v>723</v>
      </c>
      <c r="G55" s="785" t="s">
        <v>1907</v>
      </c>
      <c r="H55" s="785" t="s">
        <v>1907</v>
      </c>
      <c r="I55" s="785" t="s">
        <v>874</v>
      </c>
      <c r="J55" s="785" t="s">
        <v>874</v>
      </c>
      <c r="K55" s="785" t="s">
        <v>2567</v>
      </c>
      <c r="L55" s="906"/>
      <c r="M55" s="641"/>
      <c r="P55" s="638"/>
      <c r="Q55" s="638"/>
    </row>
    <row r="56" spans="1:17" ht="15" customHeight="1">
      <c r="A56" s="414"/>
      <c r="B56" s="785" t="s">
        <v>1669</v>
      </c>
      <c r="C56" s="786" t="s">
        <v>728</v>
      </c>
      <c r="D56" s="104" t="s">
        <v>726</v>
      </c>
      <c r="E56" s="104" t="s">
        <v>710</v>
      </c>
      <c r="F56" s="104" t="s">
        <v>711</v>
      </c>
      <c r="G56" s="2427" t="s">
        <v>2934</v>
      </c>
      <c r="H56" s="2427" t="s">
        <v>2935</v>
      </c>
      <c r="I56" s="2427" t="s">
        <v>2936</v>
      </c>
      <c r="J56" s="2427" t="s">
        <v>2937</v>
      </c>
      <c r="K56" s="104" t="s">
        <v>2568</v>
      </c>
      <c r="L56" s="906"/>
      <c r="M56" s="641"/>
      <c r="O56" s="638"/>
      <c r="P56" s="638"/>
      <c r="Q56" s="638"/>
    </row>
    <row r="57" spans="1:17" ht="16.5" customHeight="1">
      <c r="A57" s="414"/>
      <c r="B57" s="785" t="s">
        <v>806</v>
      </c>
      <c r="C57" s="713"/>
      <c r="D57" s="713"/>
      <c r="E57" s="312"/>
      <c r="F57" s="713"/>
      <c r="G57" s="713"/>
      <c r="H57" s="713"/>
      <c r="I57" s="713"/>
      <c r="J57" s="713"/>
      <c r="K57" s="610"/>
      <c r="L57" s="906"/>
      <c r="M57" s="641"/>
      <c r="O57" s="638"/>
      <c r="P57" s="638"/>
      <c r="Q57" s="638"/>
    </row>
    <row r="58" spans="1:17" ht="16.5" customHeight="1">
      <c r="A58" s="414"/>
      <c r="B58" s="785" t="s">
        <v>1670</v>
      </c>
      <c r="C58" s="2094"/>
      <c r="D58" s="2094"/>
      <c r="E58" s="312"/>
      <c r="F58" s="713"/>
      <c r="G58" s="713"/>
      <c r="H58" s="713"/>
      <c r="I58" s="713"/>
      <c r="J58" s="713"/>
      <c r="K58" s="98"/>
      <c r="L58" s="906"/>
      <c r="M58" s="641"/>
      <c r="O58" s="638"/>
      <c r="P58" s="638"/>
      <c r="Q58" s="638"/>
    </row>
    <row r="59" spans="1:17" ht="16.5" customHeight="1">
      <c r="A59" s="414"/>
      <c r="B59" s="786"/>
      <c r="C59" s="2095"/>
      <c r="D59" s="2095"/>
      <c r="E59" s="134"/>
      <c r="F59" s="134"/>
      <c r="G59" s="134"/>
      <c r="H59" s="134"/>
      <c r="I59" s="134"/>
      <c r="J59" s="134"/>
      <c r="K59" s="134"/>
      <c r="L59" s="906"/>
      <c r="M59" s="641"/>
      <c r="O59" s="638"/>
      <c r="P59" s="638"/>
      <c r="Q59" s="638"/>
    </row>
    <row r="60" spans="1:17" ht="15.6" customHeight="1">
      <c r="A60" s="414"/>
      <c r="B60" s="655" t="s">
        <v>116</v>
      </c>
      <c r="C60" s="1163" t="s">
        <v>729</v>
      </c>
      <c r="D60" s="655" t="s">
        <v>727</v>
      </c>
      <c r="E60" s="655" t="s">
        <v>712</v>
      </c>
      <c r="F60" s="655" t="s">
        <v>713</v>
      </c>
      <c r="G60" s="655" t="s">
        <v>714</v>
      </c>
      <c r="H60" s="655" t="s">
        <v>716</v>
      </c>
      <c r="I60" s="655" t="s">
        <v>715</v>
      </c>
      <c r="J60" s="655" t="s">
        <v>717</v>
      </c>
      <c r="K60" s="655" t="s">
        <v>706</v>
      </c>
      <c r="L60" s="906"/>
      <c r="M60" s="641"/>
      <c r="O60" s="638"/>
      <c r="P60" s="638"/>
      <c r="Q60" s="638"/>
    </row>
    <row r="61" spans="1:17" ht="15.6" customHeight="1" thickBot="1">
      <c r="A61" s="414"/>
      <c r="B61" s="656" t="s">
        <v>579</v>
      </c>
      <c r="C61" s="656" t="s">
        <v>589</v>
      </c>
      <c r="D61" s="656" t="s">
        <v>724</v>
      </c>
      <c r="E61" s="656" t="s">
        <v>704</v>
      </c>
      <c r="F61" s="656" t="s">
        <v>579</v>
      </c>
      <c r="G61" s="656" t="s">
        <v>705</v>
      </c>
      <c r="H61" s="656" t="s">
        <v>718</v>
      </c>
      <c r="I61" s="656" t="s">
        <v>705</v>
      </c>
      <c r="J61" s="656" t="s">
        <v>718</v>
      </c>
      <c r="K61" s="656" t="s">
        <v>707</v>
      </c>
      <c r="L61" s="906"/>
      <c r="M61" s="641"/>
      <c r="O61" s="640"/>
      <c r="P61" s="638"/>
      <c r="Q61" s="638"/>
    </row>
    <row r="62" spans="1:17" ht="16.5" customHeight="1">
      <c r="A62" s="414"/>
      <c r="B62" s="1489">
        <f xml:space="preserve"> H28*2*1000</f>
        <v>12746000</v>
      </c>
      <c r="C62" s="1490">
        <f>1/SQRT(1-(H32/(B62)))</f>
        <v>1.0000000003479437</v>
      </c>
      <c r="D62" s="1491">
        <f>H21*(H27*H25)/(POWER((B62),2))</f>
        <v>245.34453749980702</v>
      </c>
      <c r="E62" s="1492">
        <f>H29/C62</f>
        <v>0.99999999965205633</v>
      </c>
      <c r="F62" s="1492">
        <f>H26/C62</f>
        <v>1.7999999993737015</v>
      </c>
      <c r="G62" s="1493">
        <f>H30*C62</f>
        <v>550.00000019136905</v>
      </c>
      <c r="H62" s="1494">
        <f>H31/C62</f>
        <v>545077196173980.19</v>
      </c>
      <c r="I62" s="1493">
        <f>H30/C62</f>
        <v>549.99999980863095</v>
      </c>
      <c r="J62" s="1494">
        <f>H31*C62</f>
        <v>545077196553292.56</v>
      </c>
      <c r="K62" s="1494">
        <f>(2*H32/B62)*180/PI()</f>
        <v>7.9742808102048987E-8</v>
      </c>
      <c r="L62" s="906"/>
      <c r="M62" s="641"/>
      <c r="O62" s="638"/>
      <c r="P62" s="638"/>
      <c r="Q62" s="638"/>
    </row>
    <row r="63" spans="1:17" ht="16.5" customHeight="1">
      <c r="A63" s="414"/>
      <c r="B63" s="1495">
        <f>H28*1000</f>
        <v>6373000</v>
      </c>
      <c r="C63" s="1496">
        <f>1/SQRT(1-(H32/(B63)))</f>
        <v>1.0000000006958873</v>
      </c>
      <c r="D63" s="1497">
        <f>H21*(H27*H25)/(POWER((B63),2))</f>
        <v>981.37814999922807</v>
      </c>
      <c r="E63" s="1498">
        <f>H29/C63</f>
        <v>0.99999999930411265</v>
      </c>
      <c r="F63" s="1498">
        <f>H26/C63</f>
        <v>1.7999999987474029</v>
      </c>
      <c r="G63" s="1499">
        <f>H30*C63</f>
        <v>550.00000038273799</v>
      </c>
      <c r="H63" s="1500">
        <f>H31/C63</f>
        <v>545077195984324.06</v>
      </c>
      <c r="I63" s="1499">
        <f>H30/C63</f>
        <v>549.99999961726201</v>
      </c>
      <c r="J63" s="1500">
        <f>H31*C63</f>
        <v>545077196742948.69</v>
      </c>
      <c r="K63" s="1500">
        <f>(2*(H32/B63))*180/PI()</f>
        <v>1.5948561620409797E-7</v>
      </c>
      <c r="L63" s="906"/>
      <c r="M63" s="641"/>
      <c r="O63" s="638"/>
      <c r="P63" s="638"/>
      <c r="Q63" s="638"/>
    </row>
    <row r="64" spans="1:17" ht="16.5" customHeight="1">
      <c r="A64" s="414"/>
      <c r="B64" s="1501">
        <v>1000</v>
      </c>
      <c r="C64" s="1502">
        <f>1/SQRT(1-(H32/(B64)))</f>
        <v>1.0000044349191257</v>
      </c>
      <c r="D64" s="1503">
        <f>H21*(H27*H25)/(POWER((B64),2))</f>
        <v>39858800160</v>
      </c>
      <c r="E64" s="1504">
        <f>H29/C64</f>
        <v>0.99999556510054266</v>
      </c>
      <c r="F64" s="1504">
        <f>H26/C64</f>
        <v>1.7999920171809769</v>
      </c>
      <c r="G64" s="1505">
        <f>H30*C64</f>
        <v>550.00243920551918</v>
      </c>
      <c r="H64" s="1506">
        <f>H31/C64</f>
        <v>545074779001074.06</v>
      </c>
      <c r="I64" s="1505">
        <f>H30/C64</f>
        <v>549.99756080529846</v>
      </c>
      <c r="J64" s="1506">
        <f>H31*C64</f>
        <v>545079613736919.5</v>
      </c>
      <c r="K64" s="1506">
        <f>(2*H32/B64)*180/PI()</f>
        <v>1.0164018320687166E-3</v>
      </c>
      <c r="L64" s="906"/>
      <c r="M64" s="641"/>
      <c r="O64" s="638"/>
      <c r="P64" s="638"/>
      <c r="Q64" s="638"/>
    </row>
    <row r="65" spans="1:17" ht="16.5" customHeight="1">
      <c r="A65" s="414"/>
      <c r="B65" s="1507">
        <v>100</v>
      </c>
      <c r="C65" s="1508">
        <f>1/SQRT(1-(H32/(B65)))</f>
        <v>1.0000443518466873</v>
      </c>
      <c r="D65" s="1509">
        <f>H21*(H27*H25)/(POWER((B65),2))</f>
        <v>3985880016000</v>
      </c>
      <c r="E65" s="1510">
        <f>H29/C65</f>
        <v>0.99995565012031185</v>
      </c>
      <c r="F65" s="1510">
        <f>H26/C65</f>
        <v>1.7999201702165613</v>
      </c>
      <c r="G65" s="1511">
        <f>H30*C65</f>
        <v>550.02439351567796</v>
      </c>
      <c r="H65" s="1512">
        <f>H31/C65</f>
        <v>545053022255556.87</v>
      </c>
      <c r="I65" s="1511">
        <f>H30/C65</f>
        <v>549.97560756617145</v>
      </c>
      <c r="J65" s="1512">
        <f>H31*C65</f>
        <v>545101371543882.25</v>
      </c>
      <c r="K65" s="1506">
        <f>(2*H32/B65)*180/PI()</f>
        <v>1.0164018320687165E-2</v>
      </c>
      <c r="L65" s="906"/>
      <c r="M65" s="641"/>
      <c r="O65" s="638"/>
      <c r="P65" s="638"/>
      <c r="Q65" s="638"/>
    </row>
    <row r="66" spans="1:17" ht="16.5" customHeight="1">
      <c r="A66" s="414"/>
      <c r="B66" s="1507">
        <v>10</v>
      </c>
      <c r="C66" s="1508">
        <f>1/SQRT(1-(H32/(B66)))</f>
        <v>1.0004437842042477</v>
      </c>
      <c r="D66" s="1509">
        <f>H21*(H27*H25)/(POWER((B66),2))</f>
        <v>398588001600000</v>
      </c>
      <c r="E66" s="1510">
        <f>H29/C66</f>
        <v>0.99955641265281014</v>
      </c>
      <c r="F66" s="1510">
        <f>H26/C66</f>
        <v>1.7992015427750583</v>
      </c>
      <c r="G66" s="1511">
        <f>H30*C66</f>
        <v>550.24408131233622</v>
      </c>
      <c r="H66" s="1512">
        <f>H31/C66</f>
        <v>544835407016087.75</v>
      </c>
      <c r="I66" s="1511">
        <f>H30/C66</f>
        <v>549.75602695904558</v>
      </c>
      <c r="J66" s="1512">
        <f>H31*C66</f>
        <v>545319093013478.19</v>
      </c>
      <c r="K66" s="1512">
        <f>(2*H32/B66)*180/PI()</f>
        <v>0.10164018320687165</v>
      </c>
      <c r="L66" s="906"/>
      <c r="M66" s="641"/>
      <c r="O66" s="638"/>
      <c r="P66" s="638"/>
      <c r="Q66" s="638"/>
    </row>
    <row r="67" spans="1:17" ht="16.5" customHeight="1">
      <c r="A67" s="414"/>
      <c r="B67" s="1507">
        <v>1</v>
      </c>
      <c r="C67" s="1508">
        <f>1/SQRT(1-(H32/(B67)))</f>
        <v>1.0044646117644762</v>
      </c>
      <c r="D67" s="1509">
        <f>H21*(H27*H25)/(POWER((B67),2))</f>
        <v>3.985880016E+16</v>
      </c>
      <c r="E67" s="1510">
        <f>H29/C67</f>
        <v>0.99555523239725341</v>
      </c>
      <c r="F67" s="1510">
        <f>H26/C67</f>
        <v>1.791999418315056</v>
      </c>
      <c r="G67" s="1511">
        <f>H30*C67</f>
        <v>552.45553647046188</v>
      </c>
      <c r="H67" s="1512">
        <f>H31/C67</f>
        <v>542654454900243.31</v>
      </c>
      <c r="I67" s="1511">
        <f>H30/C67</f>
        <v>547.55537781848932</v>
      </c>
      <c r="J67" s="1512">
        <f>H31*C67</f>
        <v>547510754427069.19</v>
      </c>
      <c r="K67" s="1512">
        <f>(2*H32/B67)*180/3.14159</f>
        <v>1.0164026905873416</v>
      </c>
      <c r="L67" s="906"/>
      <c r="M67" s="641"/>
      <c r="O67" s="638"/>
      <c r="P67" s="638"/>
      <c r="Q67" s="638"/>
    </row>
    <row r="68" spans="1:17" ht="16.5" customHeight="1">
      <c r="A68" s="414"/>
      <c r="B68" s="1507">
        <v>0.1</v>
      </c>
      <c r="C68" s="1508">
        <f>1/SQRT(1-(H32/(B68)))</f>
        <v>1.0475355943677644</v>
      </c>
      <c r="D68" s="1509">
        <f>H21*(H27*H25)/(POWER((B68),2))</f>
        <v>3.985880015999999E+18</v>
      </c>
      <c r="E68" s="1510">
        <f>H29/C68</f>
        <v>0.95462149961934772</v>
      </c>
      <c r="F68" s="1510">
        <f>H26/C68</f>
        <v>1.7183186993148258</v>
      </c>
      <c r="G68" s="1511">
        <f>H30*C68</f>
        <v>576.1445769022705</v>
      </c>
      <c r="H68" s="1512">
        <f>H31/C68</f>
        <v>520342410600964.19</v>
      </c>
      <c r="I68" s="1511">
        <f>H30/C68</f>
        <v>525.04182479064127</v>
      </c>
      <c r="J68" s="1512">
        <f>H31*C68</f>
        <v>570987764869096.5</v>
      </c>
      <c r="K68" s="1512">
        <f>(2*H32/B68)*180/PI()</f>
        <v>10.164018320687164</v>
      </c>
      <c r="L68" s="906"/>
      <c r="M68" s="641"/>
      <c r="O68" s="638"/>
      <c r="P68" s="638"/>
      <c r="Q68" s="638"/>
    </row>
    <row r="69" spans="1:17" ht="16.5" customHeight="1">
      <c r="A69" s="414"/>
      <c r="B69" s="1507">
        <v>0.01</v>
      </c>
      <c r="C69" s="1508">
        <f>1/SQRT(1-(H32/(B69)))</f>
        <v>2.9745300529154184</v>
      </c>
      <c r="D69" s="1509">
        <f>H21*(H27*H25)/(POWER((B69),2))</f>
        <v>3.9858800159999997E+20</v>
      </c>
      <c r="E69" s="1510">
        <f>H29/C69</f>
        <v>0.33618755978608206</v>
      </c>
      <c r="F69" s="1510">
        <f>H26/C69</f>
        <v>0.60513760761494773</v>
      </c>
      <c r="G69" s="1511">
        <f>H30*C69</f>
        <v>1635.9915291034802</v>
      </c>
      <c r="H69" s="1512">
        <f>H31/C69</f>
        <v>183248172540530</v>
      </c>
      <c r="I69" s="1511">
        <f>H30/C69</f>
        <v>184.90315788234511</v>
      </c>
      <c r="J69" s="1512">
        <f>H31*C69</f>
        <v>1621348501742515.2</v>
      </c>
      <c r="K69" s="1512">
        <f>(2*H32/B69)*180/PI()</f>
        <v>101.64018320687164</v>
      </c>
      <c r="L69" s="906"/>
      <c r="M69" s="641"/>
      <c r="O69" s="638"/>
      <c r="P69" s="638"/>
      <c r="Q69" s="638"/>
    </row>
    <row r="70" spans="1:17" ht="16.5" customHeight="1">
      <c r="A70" s="414"/>
      <c r="B70" s="1507">
        <v>8.9999999999999993E-3</v>
      </c>
      <c r="C70" s="1508">
        <f>1/SQRT(1-(H32/(B70)))</f>
        <v>8.3134473873104611</v>
      </c>
      <c r="D70" s="1509">
        <f>H21*(H27*H25)/(POWER((B70),2))</f>
        <v>4.9208395259259263E+20</v>
      </c>
      <c r="E70" s="1510">
        <f>H29/C70</f>
        <v>0.12028704259635865</v>
      </c>
      <c r="F70" s="1510">
        <f>H26/C70</f>
        <v>0.2165166766734456</v>
      </c>
      <c r="G70" s="1511">
        <f>H30*C70</f>
        <v>4572.3960630207539</v>
      </c>
      <c r="H70" s="1512">
        <f>H31/C70</f>
        <v>65565723937296.477</v>
      </c>
      <c r="I70" s="1511">
        <f>H30/C70</f>
        <v>66.157873427997259</v>
      </c>
      <c r="J70" s="1512">
        <f>H31*C70</f>
        <v>4531470593991784</v>
      </c>
      <c r="K70" s="1512">
        <f>(2*H32/B70)*180/PI()</f>
        <v>112.93353689652406</v>
      </c>
      <c r="L70" s="653"/>
      <c r="M70" s="19"/>
      <c r="N70"/>
    </row>
    <row r="71" spans="1:17" ht="16.5" customHeight="1">
      <c r="A71" s="414"/>
      <c r="B71" s="1507">
        <v>8.8800000000000007E-3</v>
      </c>
      <c r="C71" s="1508">
        <f>1/SQRT(1-(H32/(B71)))</f>
        <v>29.47576088164033</v>
      </c>
      <c r="D71" s="1509">
        <f>H21*(H27*H25)/(POWER((B71),2))</f>
        <v>5.0547338081324558E+20</v>
      </c>
      <c r="E71" s="1510">
        <f>H29/C71</f>
        <v>3.3926181041279702E-2</v>
      </c>
      <c r="F71" s="1510">
        <f>H26/C71</f>
        <v>6.1067125874303463E-2</v>
      </c>
      <c r="G71" s="1511">
        <f>H30*C71</f>
        <v>16211.668484902182</v>
      </c>
      <c r="H71" s="1512">
        <f>H31/C71</f>
        <v>18492387645305.895</v>
      </c>
      <c r="I71" s="1511">
        <f>H30/C71</f>
        <v>18.659399572703837</v>
      </c>
      <c r="J71" s="1512">
        <f>H31*C71</f>
        <v>1.6066565102049458E+16</v>
      </c>
      <c r="K71" s="1512">
        <f>(2*H32/B71)*180/PI()</f>
        <v>114.4596657735041</v>
      </c>
      <c r="L71" s="653"/>
      <c r="M71"/>
    </row>
    <row r="72" spans="1:17" s="644" customFormat="1" ht="16.5" customHeight="1">
      <c r="A72" s="907"/>
      <c r="B72" s="1507">
        <v>8.8699999999999994E-3</v>
      </c>
      <c r="C72" s="1508">
        <f>1/SQRT(1-(H32/(B72)))</f>
        <v>200.45087785445872</v>
      </c>
      <c r="D72" s="1509">
        <f>H21*(H27*H25)/(POWER((B72),2))</f>
        <v>5.0661376032863532E+20</v>
      </c>
      <c r="E72" s="1510">
        <f>H29/C72</f>
        <v>4.988753407835258E-3</v>
      </c>
      <c r="F72" s="1510">
        <f>H26/C72</f>
        <v>8.9797561341034646E-3</v>
      </c>
      <c r="G72" s="1511">
        <f>H30*C72</f>
        <v>110247.9828199523</v>
      </c>
      <c r="H72" s="1512">
        <f>H31/C72</f>
        <v>2719255720892.3789</v>
      </c>
      <c r="I72" s="1511">
        <f>H30/C72</f>
        <v>2.7438143743093919</v>
      </c>
      <c r="J72" s="1512">
        <f>H31*C72</f>
        <v>1.092612025095381E+17</v>
      </c>
      <c r="K72" s="1512">
        <f>(2*(H32/B72))*180/PI()</f>
        <v>114.58870711034008</v>
      </c>
      <c r="L72" s="908"/>
      <c r="M72" s="642"/>
    </row>
    <row r="73" spans="1:17" s="644" customFormat="1" ht="16.5" customHeight="1">
      <c r="A73" s="907"/>
      <c r="B73" s="1507">
        <v>8.8698000000000006E-3</v>
      </c>
      <c r="C73" s="1508">
        <f>1/SQRT(1-(H32/(B73)))</f>
        <v>653.74852816707596</v>
      </c>
      <c r="D73" s="1509">
        <f>H21*(H27*H25)/(POWER((B73),2))</f>
        <v>5.0663660726867886E+20</v>
      </c>
      <c r="E73" s="1510">
        <f>H29/C73</f>
        <v>1.5296401550665272E-3</v>
      </c>
      <c r="F73" s="1510">
        <f>H26/C73</f>
        <v>2.7533522791197492E-3</v>
      </c>
      <c r="G73" s="1511">
        <f>H30*C73</f>
        <v>359561.69049189176</v>
      </c>
      <c r="H73" s="1512">
        <f>H31/C73</f>
        <v>833771967168.90063</v>
      </c>
      <c r="I73" s="1511">
        <f>H30/C73</f>
        <v>0.84130208528659001</v>
      </c>
      <c r="J73" s="1512">
        <f>H31*C73</f>
        <v>3.5634341486016352E+17</v>
      </c>
      <c r="K73" s="1512">
        <f>(2*(H32/B73))*180/PI()</f>
        <v>114.59129090494896</v>
      </c>
      <c r="L73" s="908"/>
      <c r="M73" s="642"/>
      <c r="N73" s="643"/>
    </row>
    <row r="74" spans="1:17" s="644" customFormat="1" ht="6" customHeight="1">
      <c r="A74" s="912"/>
      <c r="B74" s="913"/>
      <c r="C74" s="914"/>
      <c r="D74" s="914"/>
      <c r="E74" s="915"/>
      <c r="F74" s="916"/>
      <c r="G74" s="917"/>
      <c r="H74" s="918"/>
      <c r="I74" s="916"/>
      <c r="J74" s="919"/>
      <c r="K74" s="920"/>
      <c r="L74" s="921"/>
      <c r="M74" s="642"/>
      <c r="N74"/>
    </row>
    <row r="75" spans="1:17" s="644" customFormat="1" ht="16.5" customHeight="1">
      <c r="B75" s="714"/>
      <c r="C75" s="715"/>
      <c r="D75" s="715"/>
      <c r="E75" s="716"/>
      <c r="F75" s="717"/>
      <c r="G75"/>
      <c r="H75" s="719"/>
      <c r="I75" s="717"/>
      <c r="J75" s="720"/>
      <c r="K75" s="721"/>
      <c r="L75" s="642"/>
      <c r="M75" s="642"/>
      <c r="N75" s="643"/>
    </row>
    <row r="76" spans="1:17" s="644" customFormat="1" ht="16.5" customHeight="1">
      <c r="B76" s="714"/>
      <c r="C76" s="715"/>
      <c r="D76" s="715"/>
      <c r="E76" s="716"/>
      <c r="F76"/>
      <c r="G76" s="718"/>
      <c r="H76" s="719"/>
      <c r="I76"/>
      <c r="J76"/>
      <c r="K76"/>
      <c r="L76" s="642"/>
      <c r="M76" s="642"/>
      <c r="N76"/>
    </row>
    <row r="77" spans="1:17" ht="16.5" customHeight="1">
      <c r="L77" s="19"/>
      <c r="M77" s="19"/>
    </row>
    <row r="78" spans="1:17" ht="15.75" customHeight="1">
      <c r="L78" s="19"/>
      <c r="M78" s="19"/>
      <c r="N78" s="25"/>
    </row>
    <row r="79" spans="1:17">
      <c r="L79" s="19"/>
      <c r="M79" s="19"/>
    </row>
    <row r="80" spans="1:17">
      <c r="L80" s="19"/>
      <c r="M80" s="19"/>
    </row>
    <row r="81" spans="5:13">
      <c r="L81" s="19"/>
      <c r="M81" s="19"/>
    </row>
    <row r="82" spans="5:13">
      <c r="L82" s="19"/>
      <c r="M82" s="19"/>
    </row>
    <row r="83" spans="5:13">
      <c r="L83" s="19"/>
      <c r="M83" s="19"/>
    </row>
    <row r="87" spans="5:13">
      <c r="E87" s="24"/>
    </row>
  </sheetData>
  <sheetProtection password="CEBA" sheet="1" objects="1" scenarios="1"/>
  <hyperlinks>
    <hyperlink ref="G52" r:id="rId1" display="https://www.youtube.com/watch?v=e4VoZBAagYo"/>
    <hyperlink ref="H17" r:id="rId2" display="https://matheundphysik.de/Allgemeines/Dateien/Heft%20-%20Schwarze%20Loecher.pdf   Text, 29 Seiten"/>
  </hyperlinks>
  <pageMargins left="0.19685039370078741" right="0.19685039370078741" top="0.19685039370078741" bottom="0.19685039370078741" header="0.31496062992125984" footer="0.31496062992125984"/>
  <pageSetup paperSize="9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9"/>
  <sheetViews>
    <sheetView zoomScaleNormal="100" workbookViewId="0">
      <selection activeCell="B119" sqref="B119"/>
    </sheetView>
  </sheetViews>
  <sheetFormatPr baseColWidth="10" defaultRowHeight="14.4"/>
  <cols>
    <col min="1" max="1" width="1.6640625" style="3" customWidth="1"/>
    <col min="2" max="2" width="52.33203125" style="3" customWidth="1"/>
    <col min="3" max="9" width="12.6640625" style="3" customWidth="1"/>
    <col min="10" max="10" width="1.6640625" style="3" customWidth="1"/>
    <col min="11" max="11" width="3.21875" style="3" customWidth="1"/>
    <col min="12" max="12" width="17.6640625" style="3" bestFit="1" customWidth="1"/>
  </cols>
  <sheetData>
    <row r="1" spans="1:15" ht="15.6">
      <c r="A1" s="500"/>
      <c r="B1" s="391"/>
      <c r="C1" s="821" t="s">
        <v>914</v>
      </c>
      <c r="D1" s="391"/>
      <c r="E1" s="391"/>
      <c r="F1" s="391"/>
      <c r="G1" s="391"/>
      <c r="H1" s="391"/>
      <c r="I1" s="2335" t="s">
        <v>502</v>
      </c>
      <c r="J1" s="1881"/>
    </row>
    <row r="2" spans="1:15" ht="17.399999999999999">
      <c r="A2" s="394"/>
      <c r="B2" s="273"/>
      <c r="C2" s="571" t="s">
        <v>1088</v>
      </c>
      <c r="D2" s="544"/>
      <c r="E2" s="544"/>
      <c r="F2" s="99"/>
      <c r="G2" s="99"/>
      <c r="H2" s="99"/>
      <c r="I2" s="99"/>
      <c r="J2" s="490"/>
    </row>
    <row r="3" spans="1:15" ht="15" thickBot="1">
      <c r="A3" s="394"/>
      <c r="B3" s="99"/>
      <c r="C3" s="99"/>
      <c r="D3" s="827"/>
      <c r="E3" s="827"/>
      <c r="F3" s="2209" t="s">
        <v>1621</v>
      </c>
      <c r="G3" s="99"/>
      <c r="H3" s="926"/>
      <c r="I3" s="1017"/>
      <c r="J3" s="490"/>
    </row>
    <row r="4" spans="1:15">
      <c r="A4" s="394"/>
      <c r="B4" s="99"/>
      <c r="C4" s="2004" t="s">
        <v>2272</v>
      </c>
      <c r="D4" s="2028" t="s">
        <v>2108</v>
      </c>
      <c r="E4" s="2030" t="s">
        <v>2274</v>
      </c>
      <c r="F4" s="2006"/>
      <c r="G4" s="2031"/>
      <c r="H4" s="2006" t="s">
        <v>2279</v>
      </c>
      <c r="I4" s="2007"/>
      <c r="J4" s="490"/>
      <c r="L4"/>
    </row>
    <row r="5" spans="1:15" ht="15" thickBot="1">
      <c r="A5" s="394"/>
      <c r="B5" s="122" t="s">
        <v>2831</v>
      </c>
      <c r="C5" s="2024" t="s">
        <v>2273</v>
      </c>
      <c r="D5" s="2029" t="s">
        <v>121</v>
      </c>
      <c r="E5" s="2026" t="s">
        <v>926</v>
      </c>
      <c r="F5" s="2025" t="s">
        <v>924</v>
      </c>
      <c r="G5" s="2026" t="s">
        <v>1505</v>
      </c>
      <c r="H5" s="2026" t="s">
        <v>925</v>
      </c>
      <c r="I5" s="2027" t="s">
        <v>1504</v>
      </c>
      <c r="J5" s="490"/>
    </row>
    <row r="6" spans="1:15">
      <c r="A6" s="394"/>
      <c r="B6" s="99"/>
      <c r="C6" s="2017" t="s">
        <v>923</v>
      </c>
      <c r="D6" s="2018">
        <v>1391000</v>
      </c>
      <c r="E6" s="2019">
        <v>1.9889999999999999E+30</v>
      </c>
      <c r="F6" s="2020">
        <f>E6/E9</f>
        <v>333054.25318151369</v>
      </c>
      <c r="G6" s="2021" t="s">
        <v>932</v>
      </c>
      <c r="H6" s="2022" t="s">
        <v>932</v>
      </c>
      <c r="I6" s="2023" t="s">
        <v>932</v>
      </c>
      <c r="J6" s="490"/>
      <c r="L6"/>
    </row>
    <row r="7" spans="1:15">
      <c r="A7" s="394"/>
      <c r="B7" s="99"/>
      <c r="C7" s="2005" t="s">
        <v>915</v>
      </c>
      <c r="D7" s="2002">
        <v>4879</v>
      </c>
      <c r="E7" s="1198">
        <v>3.2849999999999999E+23</v>
      </c>
      <c r="F7" s="1468">
        <f>E7/E9</f>
        <v>5.5006697923643669E-2</v>
      </c>
      <c r="G7" s="1469">
        <f>57909175/1000000</f>
        <v>57.909174999999998</v>
      </c>
      <c r="H7" s="1470">
        <f>G7/G9</f>
        <v>0.38709892727750733</v>
      </c>
      <c r="I7" s="1471">
        <f>H7*I9</f>
        <v>3.219403593757741</v>
      </c>
      <c r="J7" s="490"/>
    </row>
    <row r="8" spans="1:15">
      <c r="A8" s="394"/>
      <c r="B8" s="99"/>
      <c r="C8" s="2005" t="s">
        <v>921</v>
      </c>
      <c r="D8" s="2002">
        <v>12103</v>
      </c>
      <c r="E8" s="1198">
        <v>4.8670000000000001E+24</v>
      </c>
      <c r="F8" s="1468">
        <f>E8/E9</f>
        <v>0.81496985934360344</v>
      </c>
      <c r="G8" s="1469">
        <f>108208930/1000000</f>
        <v>108.20893</v>
      </c>
      <c r="H8" s="1470">
        <f>G8/G9</f>
        <v>0.72333202337707081</v>
      </c>
      <c r="I8" s="1471">
        <f>H8*I9</f>
        <v>6.0157689713016955</v>
      </c>
      <c r="J8" s="490"/>
      <c r="L8"/>
    </row>
    <row r="9" spans="1:15">
      <c r="A9" s="394"/>
      <c r="B9" s="122" t="s">
        <v>2829</v>
      </c>
      <c r="C9" s="2008" t="s">
        <v>916</v>
      </c>
      <c r="D9" s="2009">
        <v>12746</v>
      </c>
      <c r="E9" s="2010">
        <v>5.9720000000000003E+24</v>
      </c>
      <c r="F9" s="2011">
        <f>E9/E9</f>
        <v>1</v>
      </c>
      <c r="G9" s="2012">
        <f>149597870/1000000</f>
        <v>149.59787</v>
      </c>
      <c r="H9" s="2013">
        <f>G9/G9</f>
        <v>1</v>
      </c>
      <c r="I9" s="2014">
        <f>(G9*1000000/299792.458)/60</f>
        <v>8.3167463583534627</v>
      </c>
      <c r="J9" s="490"/>
      <c r="L9"/>
      <c r="M9" s="369"/>
    </row>
    <row r="10" spans="1:15">
      <c r="A10" s="394"/>
      <c r="B10" s="99"/>
      <c r="C10" s="2005" t="s">
        <v>917</v>
      </c>
      <c r="D10" s="2002">
        <v>6794</v>
      </c>
      <c r="E10" s="1198">
        <v>6.3899999999999998E+23</v>
      </c>
      <c r="F10" s="1468">
        <f>E10/E9</f>
        <v>0.10699933020763562</v>
      </c>
      <c r="G10" s="1469">
        <f>227936640/1000000</f>
        <v>227.93664000000001</v>
      </c>
      <c r="H10" s="1470">
        <f>G10/G9</f>
        <v>1.5236623355666763</v>
      </c>
      <c r="I10" s="1471">
        <f>H10*I9</f>
        <v>12.671913180684486</v>
      </c>
      <c r="J10" s="490"/>
      <c r="L10" s="960"/>
      <c r="M10" s="369"/>
    </row>
    <row r="11" spans="1:15">
      <c r="A11" s="394"/>
      <c r="B11" s="99"/>
      <c r="C11" s="2005" t="s">
        <v>918</v>
      </c>
      <c r="D11" s="2002">
        <v>142984</v>
      </c>
      <c r="E11" s="1198">
        <v>1.8979999999999999E+27</v>
      </c>
      <c r="F11" s="1468">
        <f>E11/E9</f>
        <v>317.81647689216339</v>
      </c>
      <c r="G11" s="1469">
        <f>778412020/1000000</f>
        <v>778.41201999999998</v>
      </c>
      <c r="H11" s="1470">
        <f>G11/G9</f>
        <v>5.2033629890586006</v>
      </c>
      <c r="I11" s="1471">
        <f>H11*I9</f>
        <v>43.275050190444304</v>
      </c>
      <c r="J11" s="490"/>
      <c r="K11" s="959"/>
      <c r="L11"/>
      <c r="M11" s="369"/>
    </row>
    <row r="12" spans="1:15">
      <c r="A12" s="394"/>
      <c r="B12" s="99"/>
      <c r="C12" s="2005" t="s">
        <v>919</v>
      </c>
      <c r="D12" s="2002">
        <v>120536</v>
      </c>
      <c r="E12" s="1198">
        <v>5.6830000000000001E+26</v>
      </c>
      <c r="F12" s="1468">
        <f>E12/E9</f>
        <v>95.160750167448086</v>
      </c>
      <c r="G12" s="1469">
        <f>1426725400/1000000</f>
        <v>1426.7254</v>
      </c>
      <c r="H12" s="1470">
        <f>G12/G9</f>
        <v>9.5370702804792611</v>
      </c>
      <c r="I12" s="1471">
        <f>H12*I9</f>
        <v>79.317394524536937</v>
      </c>
      <c r="J12" s="490"/>
      <c r="L12" s="1200"/>
      <c r="M12" s="369"/>
    </row>
    <row r="13" spans="1:15" ht="15" customHeight="1">
      <c r="A13" s="394"/>
      <c r="B13" s="99"/>
      <c r="C13" s="2005" t="s">
        <v>920</v>
      </c>
      <c r="D13" s="2002">
        <v>51118</v>
      </c>
      <c r="E13" s="1198">
        <v>8.6810000000000007E+25</v>
      </c>
      <c r="F13" s="1468">
        <f>E13/E9</f>
        <v>14.536168787675821</v>
      </c>
      <c r="G13" s="1469">
        <f>2870972200/1000000</f>
        <v>2870.9722000000002</v>
      </c>
      <c r="H13" s="1470">
        <f>G13/G9</f>
        <v>19.191263886310683</v>
      </c>
      <c r="I13" s="1471">
        <f>H13*I9</f>
        <v>159.60887403867468</v>
      </c>
      <c r="J13" s="490"/>
      <c r="M13" s="369"/>
      <c r="N13" s="1200"/>
      <c r="O13" s="941"/>
    </row>
    <row r="14" spans="1:15" ht="15" customHeight="1" thickBot="1">
      <c r="A14" s="394"/>
      <c r="B14" s="122" t="s">
        <v>2832</v>
      </c>
      <c r="C14" s="1770" t="s">
        <v>922</v>
      </c>
      <c r="D14" s="2003">
        <v>49528</v>
      </c>
      <c r="E14" s="1199">
        <v>1.0239999999999999E+26</v>
      </c>
      <c r="F14" s="1472">
        <f>E14/E9</f>
        <v>17.146684527796381</v>
      </c>
      <c r="G14" s="1473">
        <f>4498252900/1000000</f>
        <v>4498.2529000000004</v>
      </c>
      <c r="H14" s="1474">
        <f>G14/G9</f>
        <v>30.068963548745717</v>
      </c>
      <c r="I14" s="1475">
        <f>H14*I9</f>
        <v>250.07594309349395</v>
      </c>
      <c r="J14" s="490"/>
      <c r="L14" s="846"/>
      <c r="M14" s="1192"/>
    </row>
    <row r="15" spans="1:15" s="941" customFormat="1" ht="15" customHeight="1">
      <c r="A15" s="501"/>
      <c r="B15" s="112"/>
      <c r="C15" s="622"/>
      <c r="D15" s="111"/>
      <c r="E15" s="1019"/>
      <c r="F15" s="349" t="s">
        <v>2280</v>
      </c>
      <c r="G15" s="1020"/>
      <c r="H15" s="622"/>
      <c r="I15" s="1021"/>
      <c r="J15" s="504"/>
      <c r="K15" s="22"/>
      <c r="L15" s="22"/>
      <c r="M15" s="965"/>
    </row>
    <row r="16" spans="1:15">
      <c r="A16" s="394"/>
      <c r="B16" s="99"/>
      <c r="C16" s="130" t="s">
        <v>2603</v>
      </c>
      <c r="D16" s="343"/>
      <c r="E16" s="99"/>
      <c r="F16" s="99"/>
      <c r="G16" s="99"/>
      <c r="H16" s="99"/>
      <c r="I16" s="99"/>
      <c r="J16" s="490"/>
    </row>
    <row r="17" spans="1:13">
      <c r="A17" s="394"/>
      <c r="B17" s="99"/>
      <c r="C17" s="130" t="s">
        <v>2604</v>
      </c>
      <c r="D17" s="343"/>
      <c r="E17" s="99"/>
      <c r="F17" s="99"/>
      <c r="G17" s="99"/>
      <c r="H17" s="99"/>
      <c r="I17" s="99"/>
      <c r="J17" s="490"/>
    </row>
    <row r="18" spans="1:13">
      <c r="A18" s="394"/>
      <c r="B18" s="99"/>
      <c r="C18" s="130" t="s">
        <v>2837</v>
      </c>
      <c r="D18" s="343"/>
      <c r="E18" s="99"/>
      <c r="F18" s="99"/>
      <c r="G18" s="99"/>
      <c r="H18" s="99"/>
      <c r="I18" s="99"/>
      <c r="J18" s="490"/>
    </row>
    <row r="19" spans="1:13">
      <c r="A19" s="394"/>
      <c r="B19" s="122" t="s">
        <v>2830</v>
      </c>
      <c r="C19" s="99"/>
      <c r="D19" s="99"/>
      <c r="E19" s="99"/>
      <c r="F19" s="99"/>
      <c r="G19" s="99"/>
      <c r="H19" s="99"/>
      <c r="I19" s="99"/>
      <c r="J19" s="490"/>
      <c r="L19"/>
    </row>
    <row r="20" spans="1:13">
      <c r="A20" s="394"/>
      <c r="B20" s="99"/>
      <c r="C20" s="99"/>
      <c r="D20" s="99"/>
      <c r="E20" s="99"/>
      <c r="F20" s="99"/>
      <c r="G20" s="99"/>
      <c r="H20" s="99"/>
      <c r="I20" s="99"/>
      <c r="J20" s="490"/>
      <c r="M20" s="369"/>
    </row>
    <row r="21" spans="1:13">
      <c r="A21" s="394"/>
      <c r="B21" s="99"/>
      <c r="C21" s="99"/>
      <c r="D21" s="99"/>
      <c r="E21" s="99"/>
      <c r="F21" s="99"/>
      <c r="G21" s="99"/>
      <c r="H21" s="99"/>
      <c r="I21" s="99"/>
      <c r="J21" s="490"/>
    </row>
    <row r="22" spans="1:13">
      <c r="A22" s="394"/>
      <c r="B22" s="99"/>
      <c r="C22" s="99"/>
      <c r="D22" s="99"/>
      <c r="E22" s="99"/>
      <c r="F22" s="99"/>
      <c r="G22" s="99"/>
      <c r="H22" s="99"/>
      <c r="I22" s="99"/>
      <c r="J22" s="490"/>
    </row>
    <row r="23" spans="1:13">
      <c r="A23" s="394"/>
      <c r="B23" s="122" t="s">
        <v>2833</v>
      </c>
      <c r="C23" s="99"/>
      <c r="D23" s="99"/>
      <c r="E23" s="99"/>
      <c r="F23" s="99"/>
      <c r="G23" s="99"/>
      <c r="H23" s="99"/>
      <c r="I23" s="99"/>
      <c r="J23" s="490"/>
    </row>
    <row r="24" spans="1:13">
      <c r="A24" s="394"/>
      <c r="B24" s="99"/>
      <c r="C24" s="99"/>
      <c r="D24" s="99"/>
      <c r="E24" s="99"/>
      <c r="F24" s="99"/>
      <c r="G24" s="99"/>
      <c r="H24" s="99"/>
      <c r="I24" s="99"/>
      <c r="J24" s="490"/>
    </row>
    <row r="25" spans="1:13">
      <c r="A25" s="394"/>
      <c r="B25" s="99"/>
      <c r="C25" s="99"/>
      <c r="D25" s="99"/>
      <c r="E25" s="99"/>
      <c r="F25" s="99"/>
      <c r="G25" s="111"/>
      <c r="H25" s="1106"/>
      <c r="I25" s="99"/>
      <c r="J25" s="490"/>
    </row>
    <row r="26" spans="1:13">
      <c r="A26" s="394"/>
      <c r="B26" s="99"/>
      <c r="C26" s="99"/>
      <c r="D26" s="99"/>
      <c r="E26" s="99"/>
      <c r="F26" s="99"/>
      <c r="G26" s="111"/>
      <c r="H26" s="1106"/>
      <c r="I26" s="99"/>
      <c r="J26" s="490"/>
    </row>
    <row r="27" spans="1:13">
      <c r="A27" s="394"/>
      <c r="B27" s="122" t="s">
        <v>2834</v>
      </c>
      <c r="C27" s="99"/>
      <c r="D27" s="99"/>
      <c r="E27" s="99"/>
      <c r="F27" s="99"/>
      <c r="G27" s="99"/>
      <c r="H27" s="99"/>
      <c r="I27" s="99"/>
      <c r="J27" s="490"/>
    </row>
    <row r="28" spans="1:13">
      <c r="A28" s="394"/>
      <c r="B28" s="99"/>
      <c r="C28" s="99"/>
      <c r="D28" s="99"/>
      <c r="E28" s="99"/>
      <c r="F28" s="99"/>
      <c r="G28" s="99"/>
      <c r="H28" s="99"/>
      <c r="I28" s="99"/>
      <c r="J28" s="490"/>
    </row>
    <row r="29" spans="1:13">
      <c r="A29" s="394"/>
      <c r="B29" s="99"/>
      <c r="C29" s="99"/>
      <c r="D29" s="99"/>
      <c r="E29" s="111"/>
      <c r="F29" s="650"/>
      <c r="G29" s="99"/>
      <c r="H29" s="99"/>
      <c r="I29" s="99"/>
      <c r="J29" s="490"/>
    </row>
    <row r="30" spans="1:13">
      <c r="A30" s="394"/>
      <c r="B30" s="99"/>
      <c r="C30" s="99"/>
      <c r="D30" s="99"/>
      <c r="E30" s="99"/>
      <c r="F30" s="99"/>
      <c r="G30" s="99"/>
      <c r="H30" s="650"/>
      <c r="I30" s="99"/>
      <c r="J30" s="490"/>
    </row>
    <row r="31" spans="1:13">
      <c r="A31" s="394"/>
      <c r="B31" s="122" t="s">
        <v>2835</v>
      </c>
      <c r="C31" s="99"/>
      <c r="D31" s="99"/>
      <c r="E31" s="111"/>
      <c r="F31" s="650"/>
      <c r="G31" s="99"/>
      <c r="H31" s="99"/>
      <c r="I31" s="99"/>
      <c r="J31" s="490"/>
    </row>
    <row r="32" spans="1:13">
      <c r="A32" s="394"/>
      <c r="B32" s="99"/>
      <c r="C32" s="99"/>
      <c r="D32" s="99"/>
      <c r="E32" s="99"/>
      <c r="F32" s="99"/>
      <c r="G32" s="99"/>
      <c r="H32" s="99"/>
      <c r="I32" s="99"/>
      <c r="J32" s="490"/>
      <c r="L32"/>
    </row>
    <row r="33" spans="1:16">
      <c r="A33" s="394"/>
      <c r="B33" s="99"/>
      <c r="C33" s="99"/>
      <c r="D33" s="99"/>
      <c r="E33" s="99"/>
      <c r="F33" s="99"/>
      <c r="G33" s="99"/>
      <c r="H33" s="99"/>
      <c r="I33" s="99"/>
      <c r="J33" s="490"/>
    </row>
    <row r="34" spans="1:16">
      <c r="A34" s="394"/>
      <c r="B34" s="99"/>
      <c r="C34" s="99"/>
      <c r="D34" s="99"/>
      <c r="E34" s="99"/>
      <c r="F34" s="99"/>
      <c r="G34" s="99"/>
      <c r="H34" s="99"/>
      <c r="I34" s="99"/>
      <c r="J34" s="490"/>
    </row>
    <row r="35" spans="1:16">
      <c r="A35" s="394"/>
      <c r="B35" s="122" t="s">
        <v>2836</v>
      </c>
      <c r="C35" s="107"/>
      <c r="D35" s="107"/>
      <c r="E35" s="107"/>
      <c r="F35" s="99"/>
      <c r="G35" s="99"/>
      <c r="H35" s="99"/>
      <c r="I35" s="99"/>
      <c r="J35" s="490"/>
    </row>
    <row r="36" spans="1:16">
      <c r="A36" s="394"/>
      <c r="B36" s="1879" t="s">
        <v>2144</v>
      </c>
      <c r="C36" s="99"/>
      <c r="D36" s="99"/>
      <c r="E36" s="99"/>
      <c r="F36" s="99"/>
      <c r="G36" s="99"/>
      <c r="H36" s="99"/>
      <c r="I36" s="99"/>
      <c r="J36" s="490"/>
      <c r="M36" s="1"/>
    </row>
    <row r="37" spans="1:16">
      <c r="A37" s="394"/>
      <c r="B37" s="123"/>
      <c r="C37" s="99"/>
      <c r="D37" s="99"/>
      <c r="E37" s="99"/>
      <c r="F37" s="99"/>
      <c r="G37" s="99"/>
      <c r="H37" s="884"/>
      <c r="I37" s="99"/>
      <c r="J37" s="490"/>
    </row>
    <row r="38" spans="1:16" s="592" customFormat="1" ht="16.8" customHeight="1">
      <c r="A38" s="1264"/>
      <c r="B38" s="1201" t="s">
        <v>1506</v>
      </c>
      <c r="C38" s="1113"/>
      <c r="D38" s="2278"/>
      <c r="E38" s="2278"/>
      <c r="F38" s="1310" t="s">
        <v>2608</v>
      </c>
      <c r="G38" s="2278"/>
      <c r="H38" s="2278"/>
      <c r="I38" s="507"/>
      <c r="J38" s="1265"/>
      <c r="K38" s="78"/>
    </row>
    <row r="39" spans="1:16" ht="15" customHeight="1">
      <c r="A39" s="500"/>
      <c r="B39" s="391"/>
      <c r="C39" s="1272" t="s">
        <v>2607</v>
      </c>
      <c r="D39" s="2277"/>
      <c r="E39" s="2279"/>
      <c r="F39" s="2280" t="s">
        <v>2605</v>
      </c>
      <c r="G39" s="2279"/>
      <c r="H39" s="2277"/>
      <c r="I39" s="2336" t="s">
        <v>503</v>
      </c>
      <c r="J39" s="1881"/>
      <c r="L39" s="1266"/>
      <c r="M39" s="1267"/>
      <c r="N39" s="1267"/>
      <c r="O39" s="1267"/>
      <c r="P39" s="1267"/>
    </row>
    <row r="40" spans="1:16" ht="15.6">
      <c r="A40" s="394"/>
      <c r="B40" s="99"/>
      <c r="C40" s="1273" t="s">
        <v>2606</v>
      </c>
      <c r="D40" s="99"/>
      <c r="E40" s="99"/>
      <c r="F40" s="349" t="s">
        <v>2602</v>
      </c>
      <c r="G40" s="99"/>
      <c r="H40" s="99"/>
      <c r="I40" s="99"/>
      <c r="J40" s="568"/>
      <c r="K40" s="626"/>
      <c r="L40" s="964"/>
    </row>
    <row r="41" spans="1:16" ht="15" customHeight="1">
      <c r="A41" s="394"/>
      <c r="B41" s="105"/>
      <c r="C41" s="99" t="s">
        <v>2843</v>
      </c>
      <c r="D41" s="99"/>
      <c r="E41" s="99"/>
      <c r="F41" s="99"/>
      <c r="G41" s="99"/>
      <c r="H41" s="99"/>
      <c r="I41" s="99"/>
      <c r="J41" s="568"/>
      <c r="K41" s="626"/>
      <c r="L41" s="1268"/>
    </row>
    <row r="42" spans="1:16" ht="15" customHeight="1">
      <c r="A42" s="394"/>
      <c r="B42" s="99"/>
      <c r="C42" s="99" t="s">
        <v>2839</v>
      </c>
      <c r="D42" s="99"/>
      <c r="E42" s="99"/>
      <c r="F42" s="99"/>
      <c r="G42" s="99"/>
      <c r="H42" s="99"/>
      <c r="I42" s="99"/>
      <c r="J42" s="568"/>
      <c r="K42" s="626"/>
      <c r="L42" s="1269"/>
      <c r="M42" s="1267"/>
      <c r="N42" s="1267"/>
      <c r="O42" s="1267"/>
    </row>
    <row r="43" spans="1:16" ht="15" customHeight="1">
      <c r="A43" s="394"/>
      <c r="B43" s="99" t="s">
        <v>359</v>
      </c>
      <c r="C43" s="99" t="s">
        <v>2271</v>
      </c>
      <c r="D43" s="99"/>
      <c r="E43" s="99"/>
      <c r="F43" s="99"/>
      <c r="G43" s="99"/>
      <c r="H43" s="99"/>
      <c r="I43" s="99"/>
      <c r="J43" s="568"/>
      <c r="K43" s="626"/>
    </row>
    <row r="44" spans="1:16" ht="15" customHeight="1">
      <c r="A44" s="394"/>
      <c r="B44" s="99"/>
      <c r="C44" s="99" t="s">
        <v>2421</v>
      </c>
      <c r="D44" s="99"/>
      <c r="E44" s="99"/>
      <c r="F44" s="99"/>
      <c r="G44" s="99"/>
      <c r="H44" s="99"/>
      <c r="I44" s="99"/>
      <c r="J44" s="568"/>
      <c r="K44" s="626"/>
    </row>
    <row r="45" spans="1:16" ht="15" customHeight="1">
      <c r="A45" s="394"/>
      <c r="B45" s="99"/>
      <c r="C45" s="99" t="s">
        <v>1401</v>
      </c>
      <c r="D45" s="99"/>
      <c r="E45" s="99"/>
      <c r="F45" s="99"/>
      <c r="G45" s="99"/>
      <c r="H45" s="99"/>
      <c r="I45" s="99"/>
      <c r="J45" s="568"/>
      <c r="K45" s="626"/>
    </row>
    <row r="46" spans="1:16" ht="15" customHeight="1">
      <c r="A46" s="394"/>
      <c r="B46" s="99"/>
      <c r="C46" s="99" t="s">
        <v>2844</v>
      </c>
      <c r="D46" s="99"/>
      <c r="E46" s="99"/>
      <c r="F46" s="99"/>
      <c r="G46" s="99"/>
      <c r="H46" s="99"/>
      <c r="I46" s="99"/>
      <c r="J46" s="568"/>
      <c r="K46" s="626"/>
    </row>
    <row r="47" spans="1:16" ht="15" customHeight="1">
      <c r="A47" s="394"/>
      <c r="B47" s="99"/>
      <c r="C47" s="99" t="s">
        <v>2840</v>
      </c>
      <c r="D47" s="99"/>
      <c r="E47" s="99"/>
      <c r="F47" s="99"/>
      <c r="G47" s="99"/>
      <c r="H47" s="99"/>
      <c r="I47" s="99"/>
      <c r="J47" s="568"/>
      <c r="K47" s="626"/>
    </row>
    <row r="48" spans="1:16" ht="15" customHeight="1">
      <c r="A48" s="394"/>
      <c r="B48" s="99"/>
      <c r="C48" s="99" t="s">
        <v>2841</v>
      </c>
      <c r="D48" s="99"/>
      <c r="E48" s="99"/>
      <c r="F48" s="99"/>
      <c r="G48" s="99"/>
      <c r="H48" s="99"/>
      <c r="I48" s="99"/>
      <c r="J48" s="568"/>
      <c r="K48" s="626"/>
    </row>
    <row r="49" spans="1:15" ht="15" customHeight="1">
      <c r="A49" s="394"/>
      <c r="B49" s="99"/>
      <c r="C49" s="99" t="s">
        <v>2838</v>
      </c>
      <c r="D49" s="99"/>
      <c r="E49" s="99"/>
      <c r="F49" s="99"/>
      <c r="G49" s="99"/>
      <c r="H49" s="99"/>
      <c r="I49" s="99"/>
      <c r="J49" s="568"/>
      <c r="K49" s="626"/>
    </row>
    <row r="50" spans="1:15" ht="15" customHeight="1">
      <c r="A50" s="394"/>
      <c r="B50" s="99"/>
      <c r="C50" s="99" t="s">
        <v>2845</v>
      </c>
      <c r="D50" s="99"/>
      <c r="E50" s="99"/>
      <c r="F50" s="99"/>
      <c r="G50" s="99"/>
      <c r="H50" s="99"/>
      <c r="I50" s="99"/>
      <c r="J50" s="568"/>
      <c r="K50" s="626"/>
    </row>
    <row r="51" spans="1:15" ht="15" customHeight="1">
      <c r="A51" s="394"/>
      <c r="B51" s="99"/>
      <c r="C51" s="99" t="s">
        <v>2842</v>
      </c>
      <c r="D51" s="99"/>
      <c r="E51" s="99"/>
      <c r="F51" s="99"/>
      <c r="G51" s="99"/>
      <c r="H51" s="99"/>
      <c r="I51" s="99"/>
      <c r="J51" s="568"/>
      <c r="K51" s="626"/>
    </row>
    <row r="52" spans="1:15" ht="15" customHeight="1">
      <c r="A52" s="394"/>
      <c r="B52" s="99"/>
      <c r="C52" s="99" t="s">
        <v>2846</v>
      </c>
      <c r="D52" s="99"/>
      <c r="E52" s="99"/>
      <c r="F52" s="99"/>
      <c r="G52" s="99"/>
      <c r="H52" s="99"/>
      <c r="I52" s="99"/>
      <c r="J52" s="568"/>
      <c r="K52" s="626"/>
    </row>
    <row r="53" spans="1:15" ht="15" customHeight="1">
      <c r="A53" s="394"/>
      <c r="B53" s="99"/>
      <c r="C53" s="99" t="s">
        <v>2109</v>
      </c>
      <c r="D53" s="99"/>
      <c r="E53" s="99"/>
      <c r="F53" s="99"/>
      <c r="G53" s="99"/>
      <c r="H53" s="99"/>
      <c r="I53" s="99"/>
      <c r="J53" s="568"/>
      <c r="K53" s="626"/>
    </row>
    <row r="54" spans="1:15" ht="15" customHeight="1">
      <c r="A54" s="394"/>
      <c r="B54" s="99"/>
      <c r="C54" s="99" t="s">
        <v>1402</v>
      </c>
      <c r="D54" s="99"/>
      <c r="E54" s="99"/>
      <c r="F54" s="99"/>
      <c r="G54" s="99"/>
      <c r="H54" s="99"/>
      <c r="I54" s="99"/>
      <c r="J54" s="568"/>
      <c r="K54" s="626"/>
    </row>
    <row r="55" spans="1:15" ht="15" customHeight="1">
      <c r="A55" s="394"/>
      <c r="B55" s="99"/>
      <c r="C55" s="99" t="s">
        <v>1796</v>
      </c>
      <c r="D55" s="99"/>
      <c r="E55" s="99"/>
      <c r="F55" s="99"/>
      <c r="G55" s="99"/>
      <c r="H55" s="99"/>
      <c r="I55" s="99"/>
      <c r="J55" s="568"/>
      <c r="K55" s="626"/>
    </row>
    <row r="56" spans="1:15" ht="15.6">
      <c r="A56" s="394"/>
      <c r="B56" s="99"/>
      <c r="C56" s="1022"/>
      <c r="D56" s="2016" t="s">
        <v>2276</v>
      </c>
      <c r="E56" s="2015" t="s">
        <v>2275</v>
      </c>
      <c r="G56" s="734"/>
      <c r="H56" s="636"/>
      <c r="I56" s="734"/>
      <c r="J56" s="568"/>
      <c r="K56" s="626"/>
    </row>
    <row r="57" spans="1:15" ht="15.6">
      <c r="A57" s="394"/>
      <c r="B57" s="99"/>
      <c r="C57" s="396" t="s">
        <v>927</v>
      </c>
      <c r="D57" s="99"/>
      <c r="E57" s="99"/>
      <c r="F57" s="111" t="s">
        <v>1856</v>
      </c>
      <c r="G57" s="986">
        <v>4.0304000000000002</v>
      </c>
      <c r="H57" s="824" t="s">
        <v>2320</v>
      </c>
      <c r="I57" s="99"/>
      <c r="J57" s="568"/>
      <c r="K57" s="626"/>
    </row>
    <row r="58" spans="1:15" ht="15.6">
      <c r="A58" s="394"/>
      <c r="B58" s="99"/>
      <c r="C58" s="99"/>
      <c r="D58" s="99"/>
      <c r="E58" s="99"/>
      <c r="F58" s="111" t="s">
        <v>1857</v>
      </c>
      <c r="G58" s="986">
        <v>4.0026999999999999</v>
      </c>
      <c r="H58" s="824" t="s">
        <v>2321</v>
      </c>
      <c r="I58" s="99"/>
      <c r="J58" s="568"/>
      <c r="K58" s="626"/>
    </row>
    <row r="59" spans="1:15" ht="15.6">
      <c r="A59" s="394"/>
      <c r="B59" s="1876" t="s">
        <v>480</v>
      </c>
      <c r="C59" s="111" t="s">
        <v>929</v>
      </c>
      <c r="D59" s="1215">
        <v>1.6605387820000001E-27</v>
      </c>
      <c r="E59" s="99" t="s">
        <v>680</v>
      </c>
      <c r="F59" s="111" t="s">
        <v>1524</v>
      </c>
      <c r="G59" s="1476">
        <f>G57-G58</f>
        <v>2.770000000000028E-2</v>
      </c>
      <c r="H59" s="99" t="s">
        <v>2322</v>
      </c>
      <c r="I59" s="99"/>
      <c r="J59" s="568"/>
      <c r="K59" s="626"/>
      <c r="M59" s="4"/>
      <c r="N59" s="4"/>
      <c r="O59" s="4"/>
    </row>
    <row r="60" spans="1:15" ht="15.6">
      <c r="A60" s="394"/>
      <c r="B60" s="99"/>
      <c r="C60" s="99"/>
      <c r="D60" s="99"/>
      <c r="E60" s="99"/>
      <c r="F60" s="111" t="s">
        <v>1525</v>
      </c>
      <c r="G60" s="1455">
        <f>G59*D59</f>
        <v>4.599692426140047E-29</v>
      </c>
      <c r="H60" s="99" t="s">
        <v>2323</v>
      </c>
      <c r="I60" s="99"/>
      <c r="J60" s="568"/>
      <c r="K60" s="626"/>
      <c r="M60" s="4"/>
      <c r="N60" s="714"/>
      <c r="O60" s="4"/>
    </row>
    <row r="61" spans="1:15" ht="15" customHeight="1">
      <c r="A61" s="394"/>
      <c r="B61" s="99"/>
      <c r="C61" s="99" t="s">
        <v>1828</v>
      </c>
      <c r="D61" s="99"/>
      <c r="E61" s="99"/>
      <c r="F61" s="99"/>
      <c r="G61" s="99"/>
      <c r="H61" s="99"/>
      <c r="I61" s="99"/>
      <c r="J61" s="568"/>
      <c r="K61" s="626"/>
      <c r="L61"/>
      <c r="M61" s="4"/>
      <c r="N61" s="714"/>
      <c r="O61" s="4"/>
    </row>
    <row r="62" spans="1:15" ht="15" customHeight="1">
      <c r="A62" s="394"/>
      <c r="B62" s="99"/>
      <c r="C62" s="99" t="s">
        <v>1827</v>
      </c>
      <c r="D62" s="99"/>
      <c r="E62" s="99"/>
      <c r="F62" s="99"/>
      <c r="G62" s="99"/>
      <c r="H62" s="99"/>
      <c r="I62" s="99"/>
      <c r="J62" s="568"/>
      <c r="K62" s="626"/>
      <c r="L62"/>
    </row>
    <row r="63" spans="1:15" ht="15.6">
      <c r="A63" s="394"/>
      <c r="B63" s="99"/>
      <c r="C63" s="99"/>
      <c r="D63" s="26"/>
      <c r="E63" s="99"/>
      <c r="F63" s="99"/>
      <c r="G63" s="26"/>
      <c r="H63" s="99"/>
      <c r="I63" s="99"/>
      <c r="J63" s="568"/>
      <c r="K63" s="626"/>
    </row>
    <row r="64" spans="1:15" ht="15.6">
      <c r="A64" s="394"/>
      <c r="B64" s="99"/>
      <c r="C64" s="111" t="s">
        <v>630</v>
      </c>
      <c r="D64" s="2172">
        <v>1.60218E-19</v>
      </c>
      <c r="E64" s="99" t="s">
        <v>631</v>
      </c>
      <c r="F64" s="111" t="s">
        <v>928</v>
      </c>
      <c r="G64" s="1477">
        <f>G60*POWER(299792458,2)</f>
        <v>4.1339973885898844E-12</v>
      </c>
      <c r="H64" s="99" t="s">
        <v>631</v>
      </c>
      <c r="I64" s="100"/>
      <c r="J64" s="568"/>
      <c r="K64" s="626"/>
    </row>
    <row r="65" spans="1:13" ht="15.6">
      <c r="A65" s="394"/>
      <c r="B65" s="549"/>
      <c r="C65" s="1207" t="s">
        <v>1858</v>
      </c>
      <c r="D65" s="99"/>
      <c r="E65" s="99"/>
      <c r="F65" s="1023" t="s">
        <v>1019</v>
      </c>
      <c r="G65" s="1365">
        <f>G64/D64/1000000</f>
        <v>25.802328006777543</v>
      </c>
      <c r="H65" s="99" t="s">
        <v>930</v>
      </c>
      <c r="I65" s="99"/>
      <c r="J65" s="568"/>
      <c r="K65" s="626"/>
    </row>
    <row r="66" spans="1:13" ht="15.6">
      <c r="A66" s="394"/>
      <c r="B66" s="99"/>
      <c r="C66" s="1311" t="s">
        <v>1510</v>
      </c>
      <c r="D66" s="99"/>
      <c r="E66" s="99"/>
      <c r="F66" s="1023"/>
      <c r="G66" s="338"/>
      <c r="H66" s="1875" t="s">
        <v>2133</v>
      </c>
      <c r="I66" s="109"/>
      <c r="J66" s="568"/>
      <c r="K66" s="626"/>
    </row>
    <row r="67" spans="1:13" ht="15" customHeight="1">
      <c r="A67" s="394"/>
      <c r="B67" s="1878" t="s">
        <v>931</v>
      </c>
      <c r="C67" s="99" t="s">
        <v>1403</v>
      </c>
      <c r="D67" s="99"/>
      <c r="E67" s="99"/>
      <c r="F67" s="99"/>
      <c r="G67" s="99"/>
      <c r="H67" s="99"/>
      <c r="I67" s="99"/>
      <c r="J67" s="568"/>
      <c r="K67" s="626"/>
    </row>
    <row r="68" spans="1:13" ht="15.6">
      <c r="A68" s="394"/>
      <c r="B68" s="890" t="s">
        <v>952</v>
      </c>
      <c r="C68" s="99" t="s">
        <v>1406</v>
      </c>
      <c r="D68" s="99"/>
      <c r="E68" s="1049">
        <v>4000000</v>
      </c>
      <c r="F68" s="26" t="s">
        <v>1404</v>
      </c>
      <c r="G68" s="26"/>
      <c r="H68" s="966">
        <f>E68*1000*POWER(299792458,2)</f>
        <v>3.5950207149472703E+26</v>
      </c>
      <c r="I68" s="99" t="s">
        <v>1405</v>
      </c>
      <c r="J68" s="568"/>
      <c r="K68" s="626"/>
    </row>
    <row r="69" spans="1:13" ht="15" customHeight="1">
      <c r="A69" s="394"/>
      <c r="B69" s="890" t="s">
        <v>2621</v>
      </c>
      <c r="C69" s="99" t="s">
        <v>1407</v>
      </c>
      <c r="D69" s="99"/>
      <c r="E69" s="99"/>
      <c r="F69" s="99"/>
      <c r="G69" s="99"/>
      <c r="H69" s="99"/>
      <c r="I69" s="99"/>
      <c r="J69" s="568"/>
      <c r="K69" s="626"/>
    </row>
    <row r="70" spans="1:13" ht="15" customHeight="1">
      <c r="A70" s="394"/>
      <c r="B70" s="1845" t="s">
        <v>2622</v>
      </c>
      <c r="C70" s="99" t="s">
        <v>1511</v>
      </c>
      <c r="D70" s="99"/>
      <c r="E70" s="99"/>
      <c r="F70" s="99"/>
      <c r="G70" s="99"/>
      <c r="H70" s="99"/>
      <c r="I70" s="99"/>
      <c r="J70" s="568"/>
      <c r="K70" s="626"/>
      <c r="M70" s="963"/>
    </row>
    <row r="71" spans="1:13" ht="15" customHeight="1">
      <c r="A71" s="394"/>
      <c r="B71" s="1845" t="s">
        <v>2623</v>
      </c>
      <c r="C71" s="99"/>
      <c r="D71" s="99"/>
      <c r="E71" s="99"/>
      <c r="F71" s="349" t="s">
        <v>2057</v>
      </c>
      <c r="G71" s="99"/>
      <c r="H71" s="99"/>
      <c r="I71" s="99"/>
      <c r="J71" s="568"/>
      <c r="K71" s="626"/>
      <c r="L71"/>
    </row>
    <row r="72" spans="1:13" ht="15" customHeight="1">
      <c r="A72" s="394"/>
      <c r="B72" s="2288" t="s">
        <v>2624</v>
      </c>
      <c r="C72" s="824" t="s">
        <v>1408</v>
      </c>
      <c r="D72" s="824"/>
      <c r="E72" s="824"/>
      <c r="F72" s="824"/>
      <c r="G72" s="824"/>
      <c r="H72" s="824"/>
      <c r="I72" s="824"/>
      <c r="J72" s="568"/>
      <c r="K72" s="626"/>
    </row>
    <row r="73" spans="1:13" ht="15" customHeight="1">
      <c r="A73" s="394"/>
      <c r="B73" s="1526" t="s">
        <v>2697</v>
      </c>
      <c r="C73" s="824" t="s">
        <v>2281</v>
      </c>
      <c r="D73" s="824"/>
      <c r="E73" s="824"/>
      <c r="F73" s="824"/>
      <c r="G73" s="824"/>
      <c r="H73" s="824"/>
      <c r="I73" s="824"/>
      <c r="J73" s="568"/>
      <c r="K73" s="626"/>
    </row>
    <row r="74" spans="1:13" ht="15" customHeight="1">
      <c r="A74" s="394"/>
      <c r="B74" s="2338" t="s">
        <v>1850</v>
      </c>
      <c r="C74" s="824" t="s">
        <v>2978</v>
      </c>
      <c r="D74" s="824"/>
      <c r="E74" s="824"/>
      <c r="F74" s="824"/>
      <c r="G74" s="824"/>
      <c r="H74" s="824"/>
      <c r="I74" s="824"/>
      <c r="J74" s="568"/>
      <c r="K74" s="626"/>
    </row>
    <row r="75" spans="1:13" ht="15" customHeight="1">
      <c r="A75" s="496"/>
      <c r="B75" s="2284"/>
      <c r="C75" s="502" t="s">
        <v>2282</v>
      </c>
      <c r="D75" s="502"/>
      <c r="E75" s="502"/>
      <c r="F75" s="502"/>
      <c r="G75" s="502"/>
      <c r="H75" s="502"/>
      <c r="I75" s="502"/>
      <c r="J75" s="568"/>
      <c r="K75" s="626"/>
    </row>
    <row r="76" spans="1:13" ht="15" customHeight="1">
      <c r="A76" s="500"/>
      <c r="B76" s="391"/>
      <c r="C76" s="391"/>
      <c r="D76" s="391"/>
      <c r="E76" s="391"/>
      <c r="F76" s="391"/>
      <c r="G76" s="391"/>
      <c r="H76" s="391"/>
      <c r="I76" s="2337" t="s">
        <v>504</v>
      </c>
      <c r="J76" s="487"/>
      <c r="K76" s="626"/>
    </row>
    <row r="77" spans="1:13" ht="15.6">
      <c r="A77" s="394"/>
      <c r="B77" s="938"/>
      <c r="C77" s="708" t="s">
        <v>1020</v>
      </c>
      <c r="D77" s="99"/>
      <c r="E77" s="99"/>
      <c r="F77" s="99"/>
      <c r="G77" s="99"/>
      <c r="H77" s="99"/>
      <c r="I77" s="99"/>
      <c r="J77" s="568"/>
      <c r="K77" s="626"/>
    </row>
    <row r="78" spans="1:13" ht="14.4" customHeight="1">
      <c r="A78" s="394"/>
      <c r="B78" s="108" t="s">
        <v>2324</v>
      </c>
      <c r="C78" s="99"/>
      <c r="D78" s="99"/>
      <c r="E78" s="99"/>
      <c r="F78" s="99"/>
      <c r="G78" s="99"/>
      <c r="H78" s="99"/>
      <c r="I78" s="99"/>
      <c r="J78" s="568"/>
      <c r="K78" s="626"/>
    </row>
    <row r="79" spans="1:13" ht="14.4" customHeight="1">
      <c r="A79" s="394"/>
      <c r="B79" s="108" t="s">
        <v>2325</v>
      </c>
      <c r="C79" s="99"/>
      <c r="D79" s="99"/>
      <c r="E79" s="99"/>
      <c r="F79" s="99"/>
      <c r="G79" s="99"/>
      <c r="H79" s="99"/>
      <c r="I79" s="99"/>
      <c r="J79" s="568"/>
      <c r="K79" s="626"/>
      <c r="L79"/>
    </row>
    <row r="80" spans="1:13" ht="14.4" customHeight="1">
      <c r="A80" s="394"/>
      <c r="B80" s="108" t="s">
        <v>2326</v>
      </c>
      <c r="C80" s="99"/>
      <c r="D80" s="99"/>
      <c r="E80" s="99"/>
      <c r="F80" s="99"/>
      <c r="G80" s="99"/>
      <c r="H80" s="99"/>
      <c r="I80" s="99"/>
      <c r="J80" s="568"/>
      <c r="K80" s="626"/>
    </row>
    <row r="81" spans="1:12" ht="14.4" customHeight="1">
      <c r="A81" s="394"/>
      <c r="B81" s="108" t="s">
        <v>2327</v>
      </c>
      <c r="C81" s="108"/>
      <c r="D81" s="508"/>
      <c r="E81" s="508"/>
      <c r="F81" s="508"/>
      <c r="G81" s="508"/>
      <c r="H81" s="508"/>
      <c r="I81" s="108"/>
      <c r="J81" s="568"/>
      <c r="K81" s="626"/>
    </row>
    <row r="82" spans="1:12" ht="14.4" customHeight="1">
      <c r="A82" s="394"/>
      <c r="B82" s="108" t="s">
        <v>2328</v>
      </c>
      <c r="C82" s="99"/>
      <c r="D82" s="99"/>
      <c r="E82" s="99"/>
      <c r="F82" s="99"/>
      <c r="G82" s="99"/>
      <c r="H82" s="99"/>
      <c r="I82" s="99"/>
      <c r="J82" s="568"/>
      <c r="K82" s="626"/>
    </row>
    <row r="83" spans="1:12" ht="10.8" customHeight="1">
      <c r="A83" s="394"/>
      <c r="B83" s="99"/>
      <c r="C83" s="99"/>
      <c r="D83" s="99"/>
      <c r="E83" s="99"/>
      <c r="F83" s="99"/>
      <c r="G83" s="99"/>
      <c r="H83" s="99"/>
      <c r="I83" s="99"/>
      <c r="J83" s="568"/>
      <c r="K83" s="626"/>
    </row>
    <row r="84" spans="1:12" s="53" customFormat="1" ht="16.5" customHeight="1">
      <c r="A84" s="329"/>
      <c r="B84" s="108"/>
      <c r="C84" s="108"/>
      <c r="D84" s="506" t="s">
        <v>992</v>
      </c>
      <c r="E84" s="506" t="s">
        <v>985</v>
      </c>
      <c r="F84" s="67">
        <v>1367</v>
      </c>
      <c r="G84" s="108" t="s">
        <v>987</v>
      </c>
      <c r="H84" s="108"/>
      <c r="I84" s="108"/>
      <c r="J84" s="1026"/>
      <c r="K84" s="634"/>
      <c r="L84" s="70"/>
    </row>
    <row r="85" spans="1:12" ht="16.5" customHeight="1">
      <c r="A85" s="394"/>
      <c r="B85" s="112"/>
      <c r="C85" s="622"/>
      <c r="D85" s="111" t="s">
        <v>989</v>
      </c>
      <c r="E85" s="111" t="s">
        <v>21</v>
      </c>
      <c r="F85" s="986">
        <v>149600000000</v>
      </c>
      <c r="G85" s="99" t="s">
        <v>681</v>
      </c>
      <c r="H85" s="622"/>
      <c r="I85" s="622"/>
      <c r="J85" s="568"/>
      <c r="K85" s="626"/>
      <c r="L85"/>
    </row>
    <row r="86" spans="1:12" ht="15.6">
      <c r="A86" s="394"/>
      <c r="B86" s="99"/>
      <c r="C86" s="99"/>
      <c r="D86" s="111" t="s">
        <v>990</v>
      </c>
      <c r="E86" s="111" t="s">
        <v>988</v>
      </c>
      <c r="F86" s="987">
        <v>3.08E+16</v>
      </c>
      <c r="G86" s="99" t="s">
        <v>681</v>
      </c>
      <c r="H86" s="99"/>
      <c r="I86" s="99"/>
      <c r="J86" s="568"/>
      <c r="K86" s="626"/>
    </row>
    <row r="87" spans="1:12" ht="15.6">
      <c r="A87" s="394"/>
      <c r="B87" s="99"/>
      <c r="C87" s="99"/>
      <c r="D87" s="111" t="s">
        <v>2679</v>
      </c>
      <c r="E87" s="111" t="s">
        <v>55</v>
      </c>
      <c r="F87" s="986">
        <v>-26.7</v>
      </c>
      <c r="G87" s="99" t="s">
        <v>974</v>
      </c>
      <c r="H87" s="2323" t="s">
        <v>2680</v>
      </c>
      <c r="I87" s="2322"/>
      <c r="J87" s="568"/>
      <c r="K87" s="626"/>
    </row>
    <row r="88" spans="1:12" ht="15.6">
      <c r="A88" s="394"/>
      <c r="B88" s="99"/>
      <c r="C88" s="99"/>
      <c r="D88" s="99"/>
      <c r="E88" s="99"/>
      <c r="F88" s="26"/>
      <c r="G88" s="99"/>
      <c r="H88" s="314"/>
      <c r="I88" s="304"/>
      <c r="J88" s="961"/>
      <c r="K88" s="626"/>
    </row>
    <row r="89" spans="1:12" ht="16.2">
      <c r="A89" s="394"/>
      <c r="B89" s="1877" t="s">
        <v>2134</v>
      </c>
      <c r="C89" s="112"/>
      <c r="D89" s="111" t="s">
        <v>1507</v>
      </c>
      <c r="E89" s="111" t="s">
        <v>986</v>
      </c>
      <c r="F89" s="1478">
        <f>4*PI()*POWER(149600000000,2)*F84</f>
        <v>3.8445150525215355E+26</v>
      </c>
      <c r="G89" s="108" t="s">
        <v>1512</v>
      </c>
      <c r="H89" s="985"/>
      <c r="I89" s="302"/>
      <c r="J89" s="961"/>
      <c r="K89" s="626"/>
    </row>
    <row r="90" spans="1:12" ht="16.5" customHeight="1">
      <c r="A90" s="394"/>
      <c r="B90" s="1856" t="s">
        <v>2135</v>
      </c>
      <c r="C90" s="99"/>
      <c r="D90" s="99"/>
      <c r="E90" s="99"/>
      <c r="F90" s="26"/>
      <c r="G90" s="99"/>
      <c r="H90" s="99"/>
      <c r="I90" s="99"/>
      <c r="J90" s="961"/>
      <c r="K90" s="626"/>
    </row>
    <row r="91" spans="1:12" ht="16.5" customHeight="1">
      <c r="A91" s="394"/>
      <c r="B91" s="1025"/>
      <c r="C91" s="507"/>
      <c r="D91" s="860" t="s">
        <v>1508</v>
      </c>
      <c r="E91" s="860" t="s">
        <v>993</v>
      </c>
      <c r="F91" s="1479">
        <f>F87-5*LOG10(F85/(10*F86))</f>
        <v>4.8680956148600067</v>
      </c>
      <c r="G91" s="507" t="s">
        <v>974</v>
      </c>
      <c r="H91" s="992"/>
      <c r="I91" s="993"/>
      <c r="J91" s="961"/>
      <c r="K91" s="626"/>
      <c r="L91"/>
    </row>
    <row r="92" spans="1:12" s="592" customFormat="1" ht="16.5" customHeight="1">
      <c r="A92" s="505"/>
      <c r="B92" s="140" t="s">
        <v>1028</v>
      </c>
      <c r="C92" s="99"/>
      <c r="D92" s="111" t="s">
        <v>1033</v>
      </c>
      <c r="E92" s="988" t="s">
        <v>993</v>
      </c>
      <c r="F92" s="1205" t="s">
        <v>1045</v>
      </c>
      <c r="G92" s="99" t="s">
        <v>974</v>
      </c>
      <c r="H92" s="316"/>
      <c r="I92" s="302"/>
      <c r="J92" s="994"/>
      <c r="K92" s="995"/>
      <c r="L92" s="78"/>
    </row>
    <row r="93" spans="1:12" ht="15.6">
      <c r="A93" s="394"/>
      <c r="B93" s="1853" t="s">
        <v>1698</v>
      </c>
      <c r="C93" s="123" t="s">
        <v>1068</v>
      </c>
      <c r="D93" s="111"/>
      <c r="E93" s="99"/>
      <c r="F93" s="99"/>
      <c r="G93" s="99"/>
      <c r="H93" s="931" t="s">
        <v>2681</v>
      </c>
      <c r="I93" s="931"/>
      <c r="J93" s="568"/>
      <c r="K93" s="626"/>
    </row>
    <row r="94" spans="1:12" ht="15.6">
      <c r="A94" s="394"/>
      <c r="B94" s="99"/>
      <c r="C94" s="99"/>
      <c r="D94" s="111" t="s">
        <v>1014</v>
      </c>
      <c r="E94" s="996">
        <v>15000000</v>
      </c>
      <c r="F94" s="99" t="s">
        <v>1013</v>
      </c>
      <c r="G94" s="111" t="s">
        <v>1015</v>
      </c>
      <c r="H94" s="998">
        <v>1392000</v>
      </c>
      <c r="I94" s="99" t="s">
        <v>1018</v>
      </c>
      <c r="J94" s="568"/>
      <c r="K94" s="626"/>
      <c r="L94"/>
    </row>
    <row r="95" spans="1:12" ht="15.6">
      <c r="A95" s="394"/>
      <c r="B95" s="99"/>
      <c r="C95" s="99"/>
      <c r="D95" s="111" t="s">
        <v>1086</v>
      </c>
      <c r="E95" s="997">
        <v>5770</v>
      </c>
      <c r="F95" s="99" t="s">
        <v>1013</v>
      </c>
      <c r="G95" s="111" t="s">
        <v>15</v>
      </c>
      <c r="H95" s="998">
        <v>1.9889999999999999E+30</v>
      </c>
      <c r="I95" s="99" t="s">
        <v>680</v>
      </c>
      <c r="J95" s="568"/>
      <c r="K95" s="626"/>
      <c r="L95"/>
    </row>
    <row r="96" spans="1:12" ht="15.6">
      <c r="A96" s="394"/>
      <c r="B96" s="99"/>
      <c r="C96" s="99"/>
      <c r="D96" s="111" t="s">
        <v>53</v>
      </c>
      <c r="E96" s="997">
        <v>1.41</v>
      </c>
      <c r="F96" s="99" t="s">
        <v>1012</v>
      </c>
      <c r="G96" s="111" t="s">
        <v>1016</v>
      </c>
      <c r="H96" s="997">
        <v>150</v>
      </c>
      <c r="I96" s="99" t="s">
        <v>1012</v>
      </c>
      <c r="J96" s="568"/>
      <c r="K96" s="626"/>
    </row>
    <row r="97" spans="1:13" ht="15.6">
      <c r="A97" s="394"/>
      <c r="B97" s="99"/>
      <c r="C97" s="99"/>
      <c r="D97" s="111" t="s">
        <v>1021</v>
      </c>
      <c r="E97" s="997">
        <v>27.9</v>
      </c>
      <c r="F97" s="99" t="s">
        <v>1630</v>
      </c>
      <c r="G97" s="111" t="s">
        <v>1017</v>
      </c>
      <c r="H97" s="998">
        <f>247700000000</f>
        <v>247700000000</v>
      </c>
      <c r="I97" s="99" t="s">
        <v>1314</v>
      </c>
      <c r="J97" s="568"/>
      <c r="K97" s="626"/>
      <c r="L97" s="1255"/>
    </row>
    <row r="98" spans="1:13" ht="14.4" customHeight="1">
      <c r="A98" s="394"/>
      <c r="B98" s="99"/>
      <c r="C98" s="1271" t="s">
        <v>1700</v>
      </c>
      <c r="D98" s="99"/>
      <c r="E98" s="99"/>
      <c r="F98" s="1312" t="s">
        <v>1699</v>
      </c>
      <c r="G98" s="111"/>
      <c r="H98" s="99"/>
      <c r="I98" s="99"/>
      <c r="J98" s="568"/>
      <c r="K98" s="626"/>
      <c r="L98"/>
      <c r="M98" s="1300"/>
    </row>
    <row r="99" spans="1:13" ht="15.6">
      <c r="A99" s="394"/>
      <c r="B99" s="99"/>
      <c r="C99" s="122" t="s">
        <v>1022</v>
      </c>
      <c r="D99" s="99" t="s">
        <v>1701</v>
      </c>
      <c r="E99" s="99"/>
      <c r="F99" s="99"/>
      <c r="G99" s="99"/>
      <c r="H99" s="99"/>
      <c r="I99" s="99"/>
      <c r="J99" s="568"/>
      <c r="K99" s="626"/>
      <c r="L99" s="962"/>
    </row>
    <row r="100" spans="1:13" ht="15" customHeight="1">
      <c r="A100" s="394"/>
      <c r="B100" s="99"/>
      <c r="C100" s="2376" t="s">
        <v>2826</v>
      </c>
      <c r="D100" s="99" t="s">
        <v>1695</v>
      </c>
      <c r="E100" s="99"/>
      <c r="F100" s="99"/>
      <c r="G100" s="99"/>
      <c r="H100" s="99"/>
      <c r="I100" s="99"/>
      <c r="J100" s="568"/>
      <c r="K100" s="626"/>
      <c r="L100"/>
    </row>
    <row r="101" spans="1:13" ht="15.6">
      <c r="A101" s="394"/>
      <c r="B101" s="99"/>
      <c r="C101" s="122" t="s">
        <v>1023</v>
      </c>
      <c r="D101" s="99" t="s">
        <v>1702</v>
      </c>
      <c r="E101" s="99"/>
      <c r="F101" s="99"/>
      <c r="G101" s="99"/>
      <c r="H101" s="99"/>
      <c r="I101" s="99"/>
      <c r="J101" s="568"/>
      <c r="K101" s="626"/>
    </row>
    <row r="102" spans="1:13" ht="15.6">
      <c r="A102" s="394"/>
      <c r="B102" s="99"/>
      <c r="C102" s="2376" t="s">
        <v>2888</v>
      </c>
      <c r="D102" s="99" t="s">
        <v>1730</v>
      </c>
      <c r="E102" s="99"/>
      <c r="F102" s="99"/>
      <c r="G102" s="99"/>
      <c r="H102" s="99"/>
      <c r="I102" s="99"/>
      <c r="J102" s="568"/>
      <c r="K102" s="626"/>
      <c r="L102"/>
    </row>
    <row r="103" spans="1:13" ht="15" customHeight="1">
      <c r="A103" s="394"/>
      <c r="B103" s="99"/>
      <c r="C103" s="99"/>
      <c r="D103" s="99" t="s">
        <v>1731</v>
      </c>
      <c r="E103" s="99"/>
      <c r="F103" s="99"/>
      <c r="G103" s="99"/>
      <c r="H103" s="99"/>
      <c r="I103" s="99"/>
      <c r="J103" s="568"/>
      <c r="K103" s="626"/>
    </row>
    <row r="104" spans="1:13" ht="14.4" customHeight="1">
      <c r="A104" s="394"/>
      <c r="B104" s="1197"/>
      <c r="C104" s="122" t="s">
        <v>1024</v>
      </c>
      <c r="D104" s="99" t="s">
        <v>1703</v>
      </c>
      <c r="E104" s="99"/>
      <c r="F104" s="99"/>
      <c r="G104" s="99"/>
      <c r="H104" s="99"/>
      <c r="I104" s="99"/>
      <c r="J104" s="568"/>
      <c r="K104" s="626"/>
    </row>
    <row r="105" spans="1:13" ht="15.6">
      <c r="A105" s="394"/>
      <c r="B105" s="99"/>
      <c r="C105" s="2376" t="s">
        <v>2828</v>
      </c>
      <c r="D105" s="99" t="s">
        <v>1704</v>
      </c>
      <c r="E105" s="99"/>
      <c r="F105" s="99"/>
      <c r="G105" s="99"/>
      <c r="H105" s="99"/>
      <c r="I105" s="99"/>
      <c r="J105" s="568"/>
      <c r="K105" s="626"/>
    </row>
    <row r="106" spans="1:13" ht="15" customHeight="1">
      <c r="A106" s="394"/>
      <c r="B106" s="99"/>
      <c r="C106" s="122" t="s">
        <v>1026</v>
      </c>
      <c r="D106" s="99" t="s">
        <v>1705</v>
      </c>
      <c r="E106" s="99"/>
      <c r="F106" s="99"/>
      <c r="G106" s="99"/>
      <c r="H106" s="99"/>
      <c r="I106" s="99"/>
      <c r="J106" s="568"/>
      <c r="K106" s="626"/>
    </row>
    <row r="107" spans="1:13" ht="15.6">
      <c r="A107" s="394"/>
      <c r="B107" s="99"/>
      <c r="C107" s="122" t="s">
        <v>1025</v>
      </c>
      <c r="D107" s="99" t="s">
        <v>2827</v>
      </c>
      <c r="E107" s="110"/>
      <c r="F107" s="349"/>
      <c r="G107" s="99"/>
      <c r="H107" s="99"/>
      <c r="I107" s="99"/>
      <c r="J107" s="568"/>
      <c r="K107" s="626"/>
      <c r="L107"/>
    </row>
    <row r="108" spans="1:13" ht="15" customHeight="1">
      <c r="A108" s="394"/>
      <c r="B108" s="99"/>
      <c r="C108" s="117"/>
      <c r="D108" s="99" t="s">
        <v>1706</v>
      </c>
      <c r="E108" s="99"/>
      <c r="F108" s="99"/>
      <c r="G108" s="99"/>
      <c r="H108" s="99"/>
      <c r="I108" s="99"/>
      <c r="J108" s="568"/>
      <c r="K108" s="626"/>
    </row>
    <row r="109" spans="1:13" ht="15.6">
      <c r="A109" s="394"/>
      <c r="B109" s="1874" t="s">
        <v>1087</v>
      </c>
      <c r="C109" s="122" t="s">
        <v>1027</v>
      </c>
      <c r="D109" s="99" t="s">
        <v>1707</v>
      </c>
      <c r="E109" s="99"/>
      <c r="F109" s="99"/>
      <c r="G109" s="99"/>
      <c r="H109" s="99"/>
      <c r="I109" s="99"/>
      <c r="J109" s="568"/>
      <c r="K109" s="626"/>
    </row>
    <row r="110" spans="1:13" ht="14.4" customHeight="1">
      <c r="A110" s="394"/>
      <c r="B110" s="130" t="s">
        <v>1393</v>
      </c>
      <c r="C110" s="99"/>
      <c r="D110" s="99" t="s">
        <v>1708</v>
      </c>
      <c r="E110" s="99"/>
      <c r="F110" s="99"/>
      <c r="G110" s="99"/>
      <c r="H110" s="99"/>
      <c r="I110" s="99"/>
      <c r="J110" s="568"/>
      <c r="K110" s="626"/>
    </row>
    <row r="111" spans="1:13" ht="14.4" customHeight="1">
      <c r="A111" s="394"/>
      <c r="B111" s="130" t="s">
        <v>1394</v>
      </c>
      <c r="C111" s="1027" t="s">
        <v>271</v>
      </c>
      <c r="D111" s="273" t="s">
        <v>1696</v>
      </c>
      <c r="E111" s="99"/>
      <c r="F111" s="99"/>
      <c r="G111" s="99"/>
      <c r="H111" s="99"/>
      <c r="I111" s="99"/>
      <c r="J111" s="568"/>
      <c r="K111" s="626"/>
    </row>
    <row r="112" spans="1:13" ht="14.4" customHeight="1">
      <c r="A112" s="496"/>
      <c r="B112" s="1184" t="s">
        <v>1681</v>
      </c>
      <c r="C112" s="502"/>
      <c r="D112" s="387" t="s">
        <v>1697</v>
      </c>
      <c r="E112" s="502"/>
      <c r="F112" s="502"/>
      <c r="G112" s="502"/>
      <c r="H112" s="502"/>
      <c r="I112" s="99"/>
      <c r="J112" s="1024"/>
      <c r="K112" s="626"/>
    </row>
    <row r="113" spans="1:13" ht="14.4" customHeight="1">
      <c r="A113" s="500"/>
      <c r="B113" s="391"/>
      <c r="C113" s="391"/>
      <c r="D113" s="391"/>
      <c r="E113" s="391"/>
      <c r="F113" s="391"/>
      <c r="G113" s="391"/>
      <c r="H113" s="391"/>
      <c r="I113" s="2337" t="s">
        <v>505</v>
      </c>
      <c r="J113" s="487"/>
      <c r="K113" s="626"/>
    </row>
    <row r="114" spans="1:13" ht="15" customHeight="1">
      <c r="A114" s="394"/>
      <c r="B114" s="99"/>
      <c r="C114" s="349" t="s">
        <v>935</v>
      </c>
      <c r="D114" s="99"/>
      <c r="E114" s="99"/>
      <c r="F114" s="99"/>
      <c r="G114" s="99"/>
      <c r="H114" s="99"/>
      <c r="I114" s="99"/>
      <c r="J114" s="568"/>
      <c r="K114" s="626"/>
    </row>
    <row r="115" spans="1:13" ht="15" customHeight="1">
      <c r="A115" s="394"/>
      <c r="B115" s="349"/>
      <c r="C115" s="1146" t="s">
        <v>1611</v>
      </c>
      <c r="D115" s="99"/>
      <c r="E115" s="99"/>
      <c r="F115" s="99"/>
      <c r="G115" s="99"/>
      <c r="H115" s="1876" t="s">
        <v>933</v>
      </c>
      <c r="I115" s="99"/>
      <c r="J115" s="568"/>
      <c r="K115" s="626"/>
    </row>
    <row r="116" spans="1:13" ht="14.4" customHeight="1">
      <c r="A116" s="394"/>
      <c r="B116" s="99" t="s">
        <v>2614</v>
      </c>
      <c r="C116" s="99"/>
      <c r="D116" s="99"/>
      <c r="E116" s="99"/>
      <c r="F116" s="99"/>
      <c r="G116" s="99"/>
      <c r="H116" s="99"/>
      <c r="I116" s="99"/>
      <c r="J116" s="568"/>
      <c r="K116" s="626"/>
      <c r="L116"/>
    </row>
    <row r="117" spans="1:13" ht="14.4" customHeight="1">
      <c r="A117" s="394"/>
      <c r="B117" s="99" t="s">
        <v>2615</v>
      </c>
      <c r="C117" s="99"/>
      <c r="D117" s="99"/>
      <c r="E117" s="99"/>
      <c r="F117" s="99"/>
      <c r="G117" s="99"/>
      <c r="H117" s="99"/>
      <c r="I117" s="99"/>
      <c r="J117" s="568"/>
      <c r="K117" s="626"/>
    </row>
    <row r="118" spans="1:13" ht="14.4" customHeight="1">
      <c r="A118" s="394"/>
      <c r="B118" s="99" t="s">
        <v>2616</v>
      </c>
      <c r="C118" s="99"/>
      <c r="D118" s="99"/>
      <c r="E118" s="99"/>
      <c r="F118" s="99"/>
      <c r="G118" s="99"/>
      <c r="H118" s="99"/>
      <c r="I118" s="99"/>
      <c r="J118" s="568"/>
      <c r="K118" s="626"/>
    </row>
    <row r="119" spans="1:13" ht="14.4" customHeight="1">
      <c r="A119" s="394"/>
      <c r="B119" s="99" t="s">
        <v>2969</v>
      </c>
      <c r="C119" s="99"/>
      <c r="D119" s="99"/>
      <c r="E119" s="99"/>
      <c r="F119" s="99"/>
      <c r="G119" s="99"/>
      <c r="H119" s="99"/>
      <c r="I119" s="99"/>
      <c r="J119" s="568"/>
      <c r="K119" s="626"/>
    </row>
    <row r="120" spans="1:13" ht="14.4" customHeight="1">
      <c r="A120" s="394"/>
      <c r="B120" s="99" t="s">
        <v>2618</v>
      </c>
      <c r="C120" s="99"/>
      <c r="D120" s="99"/>
      <c r="E120" s="99"/>
      <c r="F120" s="99"/>
      <c r="G120" s="99"/>
      <c r="H120" s="99"/>
      <c r="I120" s="99"/>
      <c r="J120" s="568"/>
      <c r="K120" s="626"/>
    </row>
    <row r="121" spans="1:13" ht="14.4" customHeight="1">
      <c r="A121" s="394"/>
      <c r="B121" s="99" t="s">
        <v>2617</v>
      </c>
      <c r="C121" s="99"/>
      <c r="D121" s="99"/>
      <c r="E121" s="99"/>
      <c r="F121" s="99"/>
      <c r="G121" s="99"/>
      <c r="H121" s="99"/>
      <c r="I121" s="99"/>
      <c r="J121" s="568"/>
      <c r="K121" s="626"/>
    </row>
    <row r="122" spans="1:13" ht="15.6">
      <c r="A122" s="394"/>
      <c r="B122" s="100" t="s">
        <v>936</v>
      </c>
      <c r="C122" s="99"/>
      <c r="D122" s="99"/>
      <c r="E122" s="99"/>
      <c r="F122" s="99"/>
      <c r="G122" s="99"/>
      <c r="H122" s="99"/>
      <c r="I122" s="99"/>
      <c r="J122" s="568"/>
      <c r="K122" s="626"/>
    </row>
    <row r="123" spans="1:13" ht="15.6">
      <c r="A123" s="394"/>
      <c r="B123" s="99" t="s">
        <v>2111</v>
      </c>
      <c r="C123" s="99"/>
      <c r="D123" s="99"/>
      <c r="E123" s="99"/>
      <c r="F123" s="99"/>
      <c r="G123" s="99"/>
      <c r="H123" s="99"/>
      <c r="I123" s="99"/>
      <c r="J123" s="568"/>
      <c r="K123" s="626"/>
      <c r="M123" s="1216"/>
    </row>
    <row r="124" spans="1:13" ht="15.6">
      <c r="A124" s="394"/>
      <c r="B124" s="99" t="s">
        <v>2110</v>
      </c>
      <c r="C124" s="99"/>
      <c r="D124" s="99"/>
      <c r="E124" s="99"/>
      <c r="F124" s="99"/>
      <c r="G124" s="99"/>
      <c r="H124" s="99"/>
      <c r="I124" s="99"/>
      <c r="J124" s="568"/>
      <c r="K124" s="626"/>
    </row>
    <row r="125" spans="1:13" ht="15.6">
      <c r="A125" s="394"/>
      <c r="B125" s="1257" t="s">
        <v>1638</v>
      </c>
      <c r="C125" s="99"/>
      <c r="D125" s="99"/>
      <c r="E125" s="99"/>
      <c r="F125" s="99"/>
      <c r="G125" s="99"/>
      <c r="H125" s="99"/>
      <c r="I125" s="99"/>
      <c r="J125" s="568"/>
      <c r="K125" s="626"/>
    </row>
    <row r="126" spans="1:13" ht="15.6">
      <c r="A126" s="394"/>
      <c r="B126" s="99" t="s">
        <v>2610</v>
      </c>
      <c r="C126" s="99"/>
      <c r="D126" s="99"/>
      <c r="E126" s="99"/>
      <c r="F126" s="99"/>
      <c r="G126" s="99"/>
      <c r="H126" s="99"/>
      <c r="I126" s="99"/>
      <c r="J126" s="568"/>
      <c r="K126" s="626"/>
    </row>
    <row r="127" spans="1:13" ht="15.6">
      <c r="A127" s="394"/>
      <c r="B127" s="99" t="s">
        <v>2611</v>
      </c>
      <c r="C127" s="99"/>
      <c r="D127" s="99"/>
      <c r="E127" s="99"/>
      <c r="F127" s="99"/>
      <c r="G127" s="99"/>
      <c r="H127" s="99"/>
      <c r="I127" s="99"/>
      <c r="J127" s="568"/>
      <c r="K127" s="626"/>
    </row>
    <row r="128" spans="1:13" ht="15.6">
      <c r="A128" s="394"/>
      <c r="B128" s="99" t="s">
        <v>2612</v>
      </c>
      <c r="C128" s="99"/>
      <c r="D128" s="99"/>
      <c r="E128" s="99"/>
      <c r="F128" s="99"/>
      <c r="G128" s="99"/>
      <c r="H128" s="99"/>
      <c r="I128" s="99"/>
      <c r="J128" s="568"/>
      <c r="K128" s="626"/>
    </row>
    <row r="129" spans="1:15" ht="15.6">
      <c r="A129" s="394"/>
      <c r="B129" s="99" t="s">
        <v>2613</v>
      </c>
      <c r="C129" s="99"/>
      <c r="D129" s="99"/>
      <c r="E129" s="99"/>
      <c r="F129" s="99"/>
      <c r="G129" s="99"/>
      <c r="H129" s="99"/>
      <c r="I129" s="99"/>
      <c r="J129" s="568">
        <v>4</v>
      </c>
      <c r="K129" s="626"/>
      <c r="L129" s="26"/>
    </row>
    <row r="130" spans="1:15" ht="15.6">
      <c r="A130" s="394"/>
      <c r="B130" s="99" t="s">
        <v>978</v>
      </c>
      <c r="C130" s="99"/>
      <c r="D130" s="99"/>
      <c r="E130" s="99"/>
      <c r="F130" s="99"/>
      <c r="G130" s="99"/>
      <c r="H130" s="99"/>
      <c r="I130" s="99"/>
      <c r="J130" s="568">
        <v>4</v>
      </c>
      <c r="K130" s="626"/>
      <c r="L130" s="26"/>
    </row>
    <row r="131" spans="1:15" ht="15.6">
      <c r="A131" s="394"/>
      <c r="B131" s="99" t="s">
        <v>2979</v>
      </c>
      <c r="C131" s="99"/>
      <c r="D131" s="99"/>
      <c r="E131" s="99"/>
      <c r="F131" s="99"/>
      <c r="G131" s="99"/>
      <c r="H131" s="99"/>
      <c r="I131" s="99"/>
      <c r="J131" s="568"/>
      <c r="K131" s="626"/>
      <c r="L131" s="26"/>
    </row>
    <row r="132" spans="1:15" ht="15.6">
      <c r="A132" s="394"/>
      <c r="B132" s="99" t="s">
        <v>2980</v>
      </c>
      <c r="C132" s="99"/>
      <c r="D132" s="99"/>
      <c r="E132" s="99"/>
      <c r="F132" s="99"/>
      <c r="G132" s="99"/>
      <c r="H132" s="99"/>
      <c r="I132" s="99"/>
      <c r="J132" s="568"/>
      <c r="K132" s="626"/>
      <c r="L132" s="26"/>
    </row>
    <row r="133" spans="1:15" ht="15.6">
      <c r="A133" s="394"/>
      <c r="B133" s="99" t="s">
        <v>2985</v>
      </c>
      <c r="C133" s="99"/>
      <c r="D133" s="99"/>
      <c r="E133" s="99"/>
      <c r="F133" s="99"/>
      <c r="G133" s="99"/>
      <c r="H133" s="99"/>
      <c r="I133" s="99"/>
      <c r="J133" s="568"/>
      <c r="K133" s="626"/>
      <c r="L133" s="26"/>
    </row>
    <row r="134" spans="1:15" ht="15.6">
      <c r="A134" s="394"/>
      <c r="B134" s="99" t="s">
        <v>2981</v>
      </c>
      <c r="C134" s="99"/>
      <c r="D134" s="99"/>
      <c r="E134" s="99"/>
      <c r="F134" s="99"/>
      <c r="G134" s="99"/>
      <c r="H134" s="99"/>
      <c r="I134" s="99"/>
      <c r="J134" s="568"/>
      <c r="K134" s="626"/>
      <c r="L134" s="26"/>
    </row>
    <row r="135" spans="1:15" ht="15.6">
      <c r="A135" s="394"/>
      <c r="B135" s="99" t="s">
        <v>2982</v>
      </c>
      <c r="C135" s="99"/>
      <c r="D135" s="99"/>
      <c r="E135" s="99"/>
      <c r="F135" s="99"/>
      <c r="G135" s="99"/>
      <c r="H135" s="99"/>
      <c r="I135" s="99"/>
      <c r="J135" s="568"/>
      <c r="K135" s="626"/>
      <c r="L135" s="26"/>
    </row>
    <row r="136" spans="1:15" ht="15.6">
      <c r="A136" s="394"/>
      <c r="B136" s="99" t="s">
        <v>2984</v>
      </c>
      <c r="C136" s="99"/>
      <c r="D136" s="99"/>
      <c r="E136" s="99"/>
      <c r="F136" s="99"/>
      <c r="G136" s="99"/>
      <c r="H136" s="99"/>
      <c r="I136" s="99"/>
      <c r="J136" s="568"/>
      <c r="K136" s="626"/>
      <c r="L136" s="26"/>
    </row>
    <row r="137" spans="1:15" ht="15.6">
      <c r="A137" s="394"/>
      <c r="B137" s="99" t="s">
        <v>2983</v>
      </c>
      <c r="C137" s="99"/>
      <c r="D137" s="99"/>
      <c r="E137" s="99"/>
      <c r="F137" s="99"/>
      <c r="G137" s="99"/>
      <c r="H137" s="99"/>
      <c r="I137" s="99"/>
      <c r="J137" s="568"/>
      <c r="K137" s="626"/>
    </row>
    <row r="138" spans="1:15" ht="15.6">
      <c r="A138" s="394"/>
      <c r="B138" s="2333" t="s">
        <v>1633</v>
      </c>
      <c r="C138" s="99"/>
      <c r="D138" s="99"/>
      <c r="E138" s="99"/>
      <c r="F138" s="99"/>
      <c r="G138" s="99"/>
      <c r="H138" s="99"/>
      <c r="I138" s="99"/>
      <c r="J138" s="568"/>
      <c r="K138" s="626"/>
    </row>
    <row r="139" spans="1:15" ht="15" customHeight="1">
      <c r="A139" s="394"/>
      <c r="B139" s="99" t="s">
        <v>1528</v>
      </c>
      <c r="C139" s="99"/>
      <c r="D139" s="99"/>
      <c r="E139" s="99"/>
      <c r="F139" s="99"/>
      <c r="G139" s="99"/>
      <c r="H139" s="99"/>
      <c r="I139" s="99"/>
      <c r="J139" s="568"/>
      <c r="K139" s="626"/>
    </row>
    <row r="140" spans="1:15" ht="17.399999999999999">
      <c r="A140" s="394"/>
      <c r="B140" s="99" t="s">
        <v>1529</v>
      </c>
      <c r="C140" s="99"/>
      <c r="D140" s="550" t="s">
        <v>1201</v>
      </c>
      <c r="E140" s="187" t="s">
        <v>2692</v>
      </c>
      <c r="F140" s="1022"/>
      <c r="G140" s="1022"/>
      <c r="H140" s="99"/>
      <c r="I140" s="99"/>
      <c r="J140" s="568"/>
      <c r="K140" s="626"/>
      <c r="L140" s="26"/>
      <c r="O140" s="2233"/>
    </row>
    <row r="141" spans="1:15" ht="15" customHeight="1">
      <c r="A141" s="394"/>
      <c r="B141" s="99" t="s">
        <v>1527</v>
      </c>
      <c r="C141" s="99"/>
      <c r="D141" s="1273" t="s">
        <v>2694</v>
      </c>
      <c r="E141" s="2330"/>
      <c r="F141" s="2331"/>
      <c r="G141" s="2088"/>
      <c r="H141" s="2332"/>
      <c r="I141" s="2329" t="s">
        <v>2693</v>
      </c>
      <c r="J141" s="568"/>
      <c r="K141" s="626"/>
    </row>
    <row r="142" spans="1:15" ht="15" customHeight="1">
      <c r="A142" s="394"/>
      <c r="B142" s="99" t="s">
        <v>1409</v>
      </c>
      <c r="C142" s="99"/>
      <c r="D142" s="99"/>
      <c r="E142" s="99"/>
      <c r="F142" s="99"/>
      <c r="G142" s="99"/>
      <c r="H142" s="1882" t="s">
        <v>429</v>
      </c>
      <c r="I142" s="99"/>
      <c r="J142" s="568"/>
      <c r="K142" s="626"/>
      <c r="L142"/>
    </row>
    <row r="143" spans="1:15" ht="14.4" customHeight="1">
      <c r="A143" s="394"/>
      <c r="B143" s="1029"/>
      <c r="C143" s="99"/>
      <c r="D143" s="99"/>
      <c r="E143" s="99"/>
      <c r="F143" s="99"/>
      <c r="G143" s="99"/>
      <c r="H143" s="99"/>
      <c r="I143" s="99"/>
      <c r="J143" s="568"/>
      <c r="K143" s="626"/>
    </row>
    <row r="144" spans="1:15" ht="14.4" customHeight="1">
      <c r="A144" s="394"/>
      <c r="B144" s="99" t="s">
        <v>1530</v>
      </c>
      <c r="C144" s="99"/>
      <c r="D144" s="99"/>
      <c r="E144" s="99"/>
      <c r="F144" s="99"/>
      <c r="G144" s="99"/>
      <c r="H144" s="99"/>
      <c r="I144" s="99"/>
      <c r="J144" s="568"/>
      <c r="K144" s="626"/>
    </row>
    <row r="145" spans="1:14" ht="14.4" customHeight="1">
      <c r="A145" s="394"/>
      <c r="B145" s="2334" t="s">
        <v>1411</v>
      </c>
      <c r="C145" s="99"/>
      <c r="D145" s="99"/>
      <c r="E145" s="99"/>
      <c r="F145" s="99"/>
      <c r="G145" s="99"/>
      <c r="H145" s="99"/>
      <c r="I145" s="99"/>
      <c r="J145" s="568"/>
      <c r="K145" s="626"/>
    </row>
    <row r="146" spans="1:14" ht="14.4" customHeight="1">
      <c r="A146" s="394"/>
      <c r="B146" s="99" t="s">
        <v>1709</v>
      </c>
      <c r="C146" s="99"/>
      <c r="D146" s="99"/>
      <c r="E146" s="99"/>
      <c r="F146" s="99"/>
      <c r="G146" s="99"/>
      <c r="H146" s="99"/>
      <c r="I146" s="99"/>
      <c r="J146" s="568"/>
      <c r="K146" s="626"/>
    </row>
    <row r="147" spans="1:14" ht="14.4" customHeight="1">
      <c r="A147" s="394"/>
      <c r="B147" s="99" t="s">
        <v>1410</v>
      </c>
      <c r="C147" s="99"/>
      <c r="D147" s="99"/>
      <c r="E147" s="99"/>
      <c r="F147" s="99"/>
      <c r="G147" s="99"/>
      <c r="H147" s="99"/>
      <c r="I147" s="99"/>
      <c r="J147" s="568"/>
      <c r="K147" s="626"/>
      <c r="L147" s="26"/>
    </row>
    <row r="148" spans="1:14" ht="15.6" customHeight="1">
      <c r="A148" s="394"/>
      <c r="B148" s="99" t="s">
        <v>1412</v>
      </c>
      <c r="C148" s="99"/>
      <c r="D148" s="99"/>
      <c r="E148" s="99"/>
      <c r="F148" s="99"/>
      <c r="G148" s="1022"/>
      <c r="H148" s="99"/>
      <c r="I148" s="99"/>
      <c r="J148" s="568"/>
      <c r="K148" s="626"/>
      <c r="N148" s="53"/>
    </row>
    <row r="149" spans="1:14" ht="16.2" customHeight="1">
      <c r="A149" s="496"/>
      <c r="B149" s="502"/>
      <c r="C149" s="502"/>
      <c r="D149" s="502"/>
      <c r="E149" s="514" t="s">
        <v>2270</v>
      </c>
      <c r="F149" s="727"/>
      <c r="G149" s="502"/>
      <c r="H149" s="502"/>
      <c r="I149" s="502"/>
      <c r="J149" s="568"/>
      <c r="K149" s="626"/>
    </row>
    <row r="150" spans="1:14" ht="15.6">
      <c r="A150" s="500"/>
      <c r="B150" s="391"/>
      <c r="C150" s="391"/>
      <c r="D150" s="391"/>
      <c r="E150" s="391"/>
      <c r="F150" s="391"/>
      <c r="G150" s="391"/>
      <c r="H150" s="391"/>
      <c r="I150" s="2337" t="s">
        <v>506</v>
      </c>
      <c r="J150" s="487"/>
      <c r="K150" s="626"/>
      <c r="L150" s="26"/>
    </row>
    <row r="151" spans="1:14" ht="15.6">
      <c r="A151" s="394"/>
      <c r="B151" s="99"/>
      <c r="C151" s="99"/>
      <c r="D151" s="99"/>
      <c r="E151" s="99"/>
      <c r="F151" s="1193" t="s">
        <v>1634</v>
      </c>
      <c r="G151" s="99"/>
      <c r="H151" s="99"/>
      <c r="I151" s="99"/>
      <c r="J151" s="568"/>
      <c r="K151" s="626"/>
      <c r="L151" s="26"/>
    </row>
    <row r="152" spans="1:14" ht="15.6">
      <c r="A152" s="394"/>
      <c r="B152" s="99"/>
      <c r="C152" s="99" t="s">
        <v>1413</v>
      </c>
      <c r="D152" s="99"/>
      <c r="E152" s="99"/>
      <c r="F152" s="99"/>
      <c r="G152" s="99"/>
      <c r="H152" s="99"/>
      <c r="I152" s="99"/>
      <c r="J152" s="568"/>
      <c r="K152" s="626"/>
      <c r="L152" s="26"/>
    </row>
    <row r="153" spans="1:14" ht="15.6">
      <c r="A153" s="394"/>
      <c r="B153" s="99"/>
      <c r="C153" s="99" t="s">
        <v>1710</v>
      </c>
      <c r="D153" s="99"/>
      <c r="E153" s="99"/>
      <c r="F153" s="99"/>
      <c r="G153" s="99"/>
      <c r="H153" s="99"/>
      <c r="I153" s="99"/>
      <c r="J153" s="568"/>
      <c r="K153" s="626"/>
      <c r="L153" s="26"/>
    </row>
    <row r="154" spans="1:14" ht="15.6">
      <c r="A154" s="394"/>
      <c r="B154" s="99"/>
      <c r="C154" s="99" t="s">
        <v>2422</v>
      </c>
      <c r="D154" s="99"/>
      <c r="E154" s="99"/>
      <c r="F154" s="99"/>
      <c r="G154" s="99"/>
      <c r="H154" s="99"/>
      <c r="I154" s="99"/>
      <c r="J154" s="568"/>
      <c r="K154" s="626"/>
      <c r="L154" s="26"/>
    </row>
    <row r="155" spans="1:14" ht="15.6">
      <c r="A155" s="394"/>
      <c r="B155" s="99"/>
      <c r="C155" s="99" t="s">
        <v>2868</v>
      </c>
      <c r="D155" s="99"/>
      <c r="E155" s="99"/>
      <c r="F155" s="99"/>
      <c r="G155" s="99"/>
      <c r="H155" s="99"/>
      <c r="I155" s="99"/>
      <c r="J155" s="568"/>
      <c r="K155" s="626"/>
    </row>
    <row r="156" spans="1:14" ht="15.6">
      <c r="A156" s="394"/>
      <c r="B156" s="99"/>
      <c r="C156" s="99" t="s">
        <v>2869</v>
      </c>
      <c r="D156" s="99"/>
      <c r="E156" s="99"/>
      <c r="F156" s="99"/>
      <c r="G156" s="99"/>
      <c r="H156" s="99"/>
      <c r="I156" s="99"/>
      <c r="J156" s="568"/>
      <c r="K156" s="626"/>
    </row>
    <row r="157" spans="1:14" ht="15.6">
      <c r="A157" s="394"/>
      <c r="B157" s="99"/>
      <c r="C157" s="99"/>
      <c r="D157" s="99"/>
      <c r="E157" s="99"/>
      <c r="F157" s="349" t="s">
        <v>1639</v>
      </c>
      <c r="G157" s="99"/>
      <c r="H157" s="99"/>
      <c r="I157" s="99"/>
      <c r="J157" s="568"/>
      <c r="K157" s="626"/>
    </row>
    <row r="158" spans="1:14" ht="15.6">
      <c r="A158" s="394"/>
      <c r="B158" s="1028" t="s">
        <v>931</v>
      </c>
      <c r="C158" s="99"/>
      <c r="D158" s="99"/>
      <c r="E158" s="99"/>
      <c r="F158" s="1257" t="s">
        <v>1635</v>
      </c>
      <c r="G158" s="99"/>
      <c r="H158" s="99"/>
      <c r="I158" s="99"/>
      <c r="J158" s="568"/>
      <c r="K158" s="626"/>
      <c r="L158" s="26"/>
    </row>
    <row r="159" spans="1:14" ht="15.6">
      <c r="A159" s="394"/>
      <c r="B159" s="99"/>
      <c r="C159" s="99" t="s">
        <v>1414</v>
      </c>
      <c r="D159" s="99"/>
      <c r="E159" s="99"/>
      <c r="F159" s="99"/>
      <c r="G159" s="99"/>
      <c r="H159" s="99"/>
      <c r="I159" s="99"/>
      <c r="J159" s="568"/>
      <c r="K159" s="626"/>
    </row>
    <row r="160" spans="1:14" ht="15.6">
      <c r="A160" s="394"/>
      <c r="B160" s="99"/>
      <c r="C160" s="99" t="s">
        <v>1415</v>
      </c>
      <c r="D160" s="99"/>
      <c r="E160" s="99"/>
      <c r="F160" s="99"/>
      <c r="G160" s="99"/>
      <c r="H160" s="99"/>
      <c r="I160" s="99"/>
      <c r="J160" s="568"/>
      <c r="K160" s="626"/>
      <c r="L160" s="26"/>
    </row>
    <row r="161" spans="1:12" ht="15.6">
      <c r="A161" s="394"/>
      <c r="B161" s="99"/>
      <c r="C161" s="99" t="s">
        <v>1416</v>
      </c>
      <c r="D161" s="99"/>
      <c r="E161" s="99"/>
      <c r="F161" s="99"/>
      <c r="G161" s="99"/>
      <c r="H161" s="99"/>
      <c r="I161" s="99"/>
      <c r="J161" s="568"/>
      <c r="K161" s="626"/>
    </row>
    <row r="162" spans="1:12">
      <c r="A162" s="394"/>
      <c r="B162" s="550"/>
      <c r="C162" s="99" t="s">
        <v>1417</v>
      </c>
      <c r="D162" s="99"/>
      <c r="E162" s="99"/>
      <c r="F162" s="99"/>
      <c r="G162" s="99"/>
      <c r="H162" s="99"/>
      <c r="I162" s="99"/>
      <c r="J162" s="490"/>
      <c r="K162" s="626"/>
      <c r="L162" s="26"/>
    </row>
    <row r="163" spans="1:12">
      <c r="A163" s="394"/>
      <c r="B163" s="99"/>
      <c r="C163" s="99" t="s">
        <v>1418</v>
      </c>
      <c r="D163" s="99"/>
      <c r="E163" s="99"/>
      <c r="F163" s="99"/>
      <c r="G163" s="99"/>
      <c r="H163" s="99"/>
      <c r="I163" s="99"/>
      <c r="J163" s="490"/>
      <c r="K163" s="626"/>
    </row>
    <row r="164" spans="1:12">
      <c r="A164" s="394"/>
      <c r="B164" s="99"/>
      <c r="C164" s="99" t="s">
        <v>1419</v>
      </c>
      <c r="D164" s="99"/>
      <c r="E164" s="99"/>
      <c r="F164" s="99"/>
      <c r="G164" s="99"/>
      <c r="H164" s="99"/>
      <c r="I164" s="99"/>
      <c r="J164" s="490"/>
      <c r="K164" s="626"/>
      <c r="L164" s="26"/>
    </row>
    <row r="165" spans="1:12">
      <c r="A165" s="394"/>
      <c r="B165" s="99"/>
      <c r="C165" s="99" t="s">
        <v>1420</v>
      </c>
      <c r="D165" s="99"/>
      <c r="E165" s="99"/>
      <c r="F165" s="99"/>
      <c r="G165" s="99"/>
      <c r="H165" s="99"/>
      <c r="I165" s="99"/>
      <c r="J165" s="490"/>
      <c r="K165" s="626"/>
      <c r="L165" s="26"/>
    </row>
    <row r="166" spans="1:12">
      <c r="A166" s="394"/>
      <c r="B166" s="99"/>
      <c r="C166" s="99" t="s">
        <v>1656</v>
      </c>
      <c r="D166" s="99"/>
      <c r="E166" s="99"/>
      <c r="F166" s="99"/>
      <c r="G166" s="99"/>
      <c r="H166" s="99"/>
      <c r="I166" s="99"/>
      <c r="J166" s="490"/>
      <c r="K166" s="626"/>
    </row>
    <row r="167" spans="1:12">
      <c r="A167" s="394"/>
      <c r="B167" s="1876" t="s">
        <v>937</v>
      </c>
      <c r="C167" s="99"/>
      <c r="D167" s="99"/>
      <c r="E167" s="99"/>
      <c r="F167" s="349" t="s">
        <v>1513</v>
      </c>
      <c r="G167" s="99"/>
      <c r="H167" s="99"/>
      <c r="I167" s="99"/>
      <c r="J167" s="490"/>
      <c r="K167" s="626"/>
    </row>
    <row r="168" spans="1:12">
      <c r="A168" s="394"/>
      <c r="B168" s="99"/>
      <c r="C168" s="108" t="s">
        <v>1421</v>
      </c>
      <c r="D168" s="99"/>
      <c r="E168" s="99"/>
      <c r="F168" s="99"/>
      <c r="G168" s="99"/>
      <c r="H168" s="99"/>
      <c r="I168" s="99"/>
      <c r="J168" s="490"/>
      <c r="K168" s="626"/>
    </row>
    <row r="169" spans="1:12">
      <c r="A169" s="394"/>
      <c r="B169" s="99"/>
      <c r="C169" s="108" t="s">
        <v>1422</v>
      </c>
      <c r="D169" s="99"/>
      <c r="E169" s="99"/>
      <c r="F169" s="99"/>
      <c r="G169" s="99"/>
      <c r="H169" s="99"/>
      <c r="I169" s="99"/>
      <c r="J169" s="490"/>
      <c r="K169" s="626"/>
      <c r="L169" s="13"/>
    </row>
    <row r="170" spans="1:12">
      <c r="A170" s="394"/>
      <c r="B170" s="99"/>
      <c r="C170" s="108" t="s">
        <v>1423</v>
      </c>
      <c r="D170" s="99"/>
      <c r="E170" s="99"/>
      <c r="F170" s="99"/>
      <c r="G170" s="99"/>
      <c r="H170" s="99"/>
      <c r="I170" s="99"/>
      <c r="J170" s="490"/>
      <c r="K170" s="626"/>
    </row>
    <row r="171" spans="1:12">
      <c r="A171" s="394"/>
      <c r="B171" s="99"/>
      <c r="C171" s="108" t="s">
        <v>1424</v>
      </c>
      <c r="D171" s="99"/>
      <c r="E171" s="99"/>
      <c r="F171" s="99"/>
      <c r="G171" s="99"/>
      <c r="H171" s="99"/>
      <c r="I171" s="99"/>
      <c r="J171" s="490"/>
      <c r="K171" s="626"/>
    </row>
    <row r="172" spans="1:12">
      <c r="A172" s="394"/>
      <c r="B172" s="99"/>
      <c r="C172" s="108" t="s">
        <v>1425</v>
      </c>
      <c r="D172" s="99"/>
      <c r="E172" s="99"/>
      <c r="F172" s="99"/>
      <c r="G172" s="99"/>
      <c r="H172" s="99"/>
      <c r="I172" s="99"/>
      <c r="J172" s="490"/>
      <c r="K172" s="626"/>
    </row>
    <row r="173" spans="1:12">
      <c r="A173" s="394"/>
      <c r="B173" s="99"/>
      <c r="C173" s="108" t="s">
        <v>1426</v>
      </c>
      <c r="D173" s="99"/>
      <c r="E173" s="99"/>
      <c r="F173" s="99"/>
      <c r="G173" s="99"/>
      <c r="H173" s="99"/>
      <c r="I173" s="99"/>
      <c r="J173" s="490"/>
      <c r="K173" s="626"/>
    </row>
    <row r="174" spans="1:12" ht="15" customHeight="1">
      <c r="A174" s="394"/>
      <c r="B174" s="99"/>
      <c r="C174" s="108" t="s">
        <v>1427</v>
      </c>
      <c r="D174" s="99"/>
      <c r="E174" s="99"/>
      <c r="F174" s="99"/>
      <c r="G174" s="99"/>
      <c r="H174" s="99"/>
      <c r="I174" s="99"/>
      <c r="J174" s="490"/>
      <c r="K174" s="626"/>
    </row>
    <row r="175" spans="1:12">
      <c r="A175" s="394"/>
      <c r="B175" s="99"/>
      <c r="C175" s="108" t="s">
        <v>1428</v>
      </c>
      <c r="D175" s="99"/>
      <c r="E175" s="99"/>
      <c r="F175" s="99"/>
      <c r="G175" s="99"/>
      <c r="H175" s="99"/>
      <c r="I175" s="99"/>
      <c r="J175" s="490"/>
      <c r="K175" s="626"/>
    </row>
    <row r="176" spans="1:12" ht="15" customHeight="1">
      <c r="A176" s="394"/>
      <c r="B176" s="99"/>
      <c r="C176" s="108" t="s">
        <v>1429</v>
      </c>
      <c r="D176" s="99"/>
      <c r="E176" s="99"/>
      <c r="F176" s="99"/>
      <c r="G176" s="99"/>
      <c r="H176" s="99"/>
      <c r="I176" s="99"/>
      <c r="J176" s="490"/>
      <c r="K176" s="626"/>
    </row>
    <row r="177" spans="1:13">
      <c r="A177" s="394"/>
      <c r="B177" s="99"/>
      <c r="C177" s="108" t="s">
        <v>1430</v>
      </c>
      <c r="D177" s="99"/>
      <c r="E177" s="99"/>
      <c r="F177" s="99"/>
      <c r="G177" s="99"/>
      <c r="H177" s="99"/>
      <c r="I177" s="99"/>
      <c r="J177" s="490"/>
      <c r="K177" s="626"/>
    </row>
    <row r="178" spans="1:13">
      <c r="A178" s="394"/>
      <c r="B178" s="99"/>
      <c r="C178" s="108" t="s">
        <v>1636</v>
      </c>
      <c r="D178" s="99"/>
      <c r="E178" s="99"/>
      <c r="F178" s="99"/>
      <c r="G178" s="99"/>
      <c r="H178" s="99"/>
      <c r="I178" s="99"/>
      <c r="J178" s="490"/>
      <c r="K178" s="626"/>
    </row>
    <row r="179" spans="1:13" s="3" customFormat="1" ht="13.8">
      <c r="A179" s="394"/>
      <c r="B179" s="99"/>
      <c r="C179" s="108" t="s">
        <v>1431</v>
      </c>
      <c r="D179" s="99"/>
      <c r="E179" s="99"/>
      <c r="F179" s="99"/>
      <c r="G179" s="99"/>
      <c r="H179" s="99"/>
      <c r="I179" s="99"/>
      <c r="J179" s="490"/>
      <c r="K179" s="626"/>
    </row>
    <row r="180" spans="1:13" ht="15" customHeight="1">
      <c r="A180" s="394"/>
      <c r="B180" s="550"/>
      <c r="C180" s="1119" t="s">
        <v>1432</v>
      </c>
      <c r="D180" s="99"/>
      <c r="E180" s="99"/>
      <c r="F180" s="99"/>
      <c r="G180" s="99"/>
      <c r="H180" s="99"/>
      <c r="I180" s="99"/>
      <c r="J180" s="490"/>
      <c r="K180" s="626"/>
    </row>
    <row r="181" spans="1:13" ht="15" customHeight="1">
      <c r="A181" s="394"/>
      <c r="B181" s="1876" t="s">
        <v>934</v>
      </c>
      <c r="C181" s="108" t="s">
        <v>1433</v>
      </c>
      <c r="D181" s="99"/>
      <c r="E181" s="99"/>
      <c r="F181" s="99"/>
      <c r="G181" s="99"/>
      <c r="H181" s="99"/>
      <c r="I181" s="99"/>
      <c r="J181" s="490"/>
    </row>
    <row r="182" spans="1:13" ht="15" customHeight="1">
      <c r="A182" s="394"/>
      <c r="B182" s="99"/>
      <c r="C182" s="108" t="s">
        <v>1436</v>
      </c>
      <c r="D182" s="99"/>
      <c r="E182" s="99"/>
      <c r="F182" s="1031"/>
      <c r="G182" s="99"/>
      <c r="H182" s="99"/>
      <c r="I182" s="99"/>
      <c r="J182" s="490"/>
      <c r="L182"/>
    </row>
    <row r="183" spans="1:13" ht="17.399999999999999">
      <c r="A183" s="394"/>
      <c r="B183" s="349" t="s">
        <v>938</v>
      </c>
      <c r="C183" s="108" t="s">
        <v>1434</v>
      </c>
      <c r="D183" s="99"/>
      <c r="E183" s="435"/>
      <c r="F183" s="99"/>
      <c r="G183" s="99"/>
      <c r="H183" s="99"/>
      <c r="I183" s="99"/>
      <c r="J183" s="490"/>
      <c r="L183" s="26"/>
    </row>
    <row r="184" spans="1:13">
      <c r="A184" s="394"/>
      <c r="B184" s="349" t="s">
        <v>939</v>
      </c>
      <c r="C184" s="3" t="s">
        <v>1437</v>
      </c>
      <c r="D184" s="99"/>
      <c r="E184" s="99"/>
      <c r="F184" s="99"/>
      <c r="G184" s="99"/>
      <c r="H184" s="99"/>
      <c r="I184" s="99"/>
      <c r="J184" s="490"/>
      <c r="L184" s="26"/>
    </row>
    <row r="185" spans="1:13">
      <c r="A185" s="394"/>
      <c r="B185" s="99"/>
      <c r="C185" s="108" t="s">
        <v>1438</v>
      </c>
      <c r="D185" s="99"/>
      <c r="E185" s="99"/>
      <c r="F185" s="99"/>
      <c r="G185" s="99"/>
      <c r="H185" s="99"/>
      <c r="I185" s="99"/>
      <c r="J185" s="490"/>
    </row>
    <row r="186" spans="1:13">
      <c r="A186" s="394"/>
      <c r="B186" s="349" t="s">
        <v>2363</v>
      </c>
      <c r="C186" s="108" t="s">
        <v>1435</v>
      </c>
      <c r="D186" s="99"/>
      <c r="E186" s="99"/>
      <c r="F186" s="1032"/>
      <c r="G186" s="99"/>
      <c r="H186" s="99"/>
      <c r="I186" s="99"/>
      <c r="J186" s="490"/>
    </row>
    <row r="187" spans="1:13" ht="10.199999999999999" customHeight="1">
      <c r="A187" s="496"/>
      <c r="B187" s="390"/>
      <c r="C187" s="502"/>
      <c r="D187" s="502"/>
      <c r="E187" s="502"/>
      <c r="F187" s="502"/>
      <c r="G187" s="502"/>
      <c r="H187" s="502"/>
      <c r="I187" s="99"/>
      <c r="J187" s="499"/>
      <c r="L187" s="26"/>
    </row>
    <row r="188" spans="1:13" ht="15" customHeight="1">
      <c r="A188" s="500"/>
      <c r="B188" s="391"/>
      <c r="C188" s="391"/>
      <c r="D188" s="391"/>
      <c r="E188" s="391"/>
      <c r="F188" s="391"/>
      <c r="G188" s="391"/>
      <c r="H188" s="391"/>
      <c r="I188" s="2337" t="s">
        <v>507</v>
      </c>
      <c r="J188" s="487"/>
      <c r="L188" s="26"/>
    </row>
    <row r="189" spans="1:13" s="969" customFormat="1" ht="15" customHeight="1">
      <c r="A189" s="1033"/>
      <c r="B189" s="1034"/>
      <c r="C189" s="1034"/>
      <c r="D189" s="272"/>
      <c r="E189" s="272"/>
      <c r="F189" s="349" t="s">
        <v>1451</v>
      </c>
      <c r="G189" s="272"/>
      <c r="H189" s="272"/>
      <c r="I189" s="272"/>
      <c r="J189" s="1035"/>
      <c r="K189" s="968"/>
      <c r="L189" s="637"/>
      <c r="M189"/>
    </row>
    <row r="190" spans="1:13">
      <c r="A190" s="394"/>
      <c r="B190" s="99"/>
      <c r="C190" s="99" t="s">
        <v>634</v>
      </c>
      <c r="D190" s="107"/>
      <c r="E190" s="99"/>
      <c r="F190" s="1257" t="s">
        <v>1637</v>
      </c>
      <c r="G190" s="99"/>
      <c r="H190" s="99"/>
      <c r="I190" s="99"/>
      <c r="J190" s="490"/>
      <c r="L190" s="26"/>
      <c r="M190" s="846"/>
    </row>
    <row r="191" spans="1:13">
      <c r="A191" s="394"/>
      <c r="B191" s="107"/>
      <c r="C191" s="99" t="s">
        <v>1439</v>
      </c>
      <c r="D191" s="99"/>
      <c r="E191" s="99"/>
      <c r="F191" s="99"/>
      <c r="G191" s="99"/>
      <c r="H191" s="99"/>
      <c r="I191" s="99"/>
      <c r="J191" s="490"/>
      <c r="L191" s="26"/>
    </row>
    <row r="192" spans="1:13">
      <c r="A192" s="394"/>
      <c r="B192" s="99"/>
      <c r="C192" s="99" t="s">
        <v>1440</v>
      </c>
      <c r="D192" s="99"/>
      <c r="E192" s="99"/>
      <c r="F192" s="99"/>
      <c r="G192" s="99"/>
      <c r="H192" s="99"/>
      <c r="I192" s="99"/>
      <c r="J192" s="490"/>
      <c r="L192" s="26"/>
    </row>
    <row r="193" spans="1:14">
      <c r="A193" s="394"/>
      <c r="B193" s="99"/>
      <c r="C193" s="99" t="s">
        <v>1452</v>
      </c>
      <c r="D193" s="99"/>
      <c r="E193" s="99"/>
      <c r="F193" s="99"/>
      <c r="G193" s="99"/>
      <c r="H193" s="99"/>
      <c r="I193" s="99"/>
      <c r="J193" s="490"/>
      <c r="L193" s="26"/>
    </row>
    <row r="194" spans="1:14">
      <c r="A194" s="394"/>
      <c r="B194" s="99"/>
      <c r="C194" s="99" t="s">
        <v>1441</v>
      </c>
      <c r="D194" s="99"/>
      <c r="E194" s="99"/>
      <c r="F194" s="99"/>
      <c r="G194" s="99"/>
      <c r="H194" s="99"/>
      <c r="I194" s="99"/>
      <c r="J194" s="490"/>
    </row>
    <row r="195" spans="1:14" ht="16.8">
      <c r="A195" s="394"/>
      <c r="B195" s="99"/>
      <c r="C195" s="99" t="s">
        <v>1453</v>
      </c>
      <c r="D195" s="99"/>
      <c r="E195" s="99"/>
      <c r="F195" s="99"/>
      <c r="G195" s="99"/>
      <c r="H195" s="99"/>
      <c r="I195" s="99"/>
      <c r="J195" s="490"/>
    </row>
    <row r="196" spans="1:14" ht="16.8">
      <c r="A196" s="394"/>
      <c r="B196" s="99"/>
      <c r="C196" s="99" t="s">
        <v>1454</v>
      </c>
      <c r="D196" s="99"/>
      <c r="E196" s="99"/>
      <c r="F196" s="99"/>
      <c r="G196" s="99"/>
      <c r="H196" s="99"/>
      <c r="I196" s="99"/>
      <c r="J196" s="490"/>
    </row>
    <row r="197" spans="1:14">
      <c r="A197" s="394"/>
      <c r="B197" s="99"/>
      <c r="C197" s="99" t="s">
        <v>1442</v>
      </c>
      <c r="D197" s="99"/>
      <c r="E197" s="99"/>
      <c r="F197" s="99"/>
      <c r="G197" s="99"/>
      <c r="H197" s="99"/>
      <c r="I197" s="99"/>
      <c r="J197" s="490"/>
    </row>
    <row r="198" spans="1:14">
      <c r="A198" s="394"/>
      <c r="B198" s="99"/>
      <c r="C198" s="99" t="s">
        <v>1443</v>
      </c>
      <c r="D198" s="99"/>
      <c r="E198" s="99"/>
      <c r="F198" s="99"/>
      <c r="G198" s="99"/>
      <c r="H198" s="99"/>
      <c r="I198" s="99"/>
      <c r="J198" s="490"/>
    </row>
    <row r="199" spans="1:14">
      <c r="A199" s="394"/>
      <c r="B199" s="99"/>
      <c r="C199" s="99" t="s">
        <v>1444</v>
      </c>
      <c r="D199" s="99"/>
      <c r="E199" s="99"/>
      <c r="F199" s="99"/>
      <c r="G199" s="99"/>
      <c r="H199" s="99"/>
      <c r="I199" s="99"/>
      <c r="J199" s="490"/>
    </row>
    <row r="200" spans="1:14">
      <c r="A200" s="394"/>
      <c r="B200" s="1030" t="s">
        <v>940</v>
      </c>
      <c r="C200" s="99" t="s">
        <v>1446</v>
      </c>
      <c r="D200" s="99"/>
      <c r="E200" s="99"/>
      <c r="F200" s="99"/>
      <c r="G200" s="99"/>
      <c r="H200" s="99"/>
      <c r="I200" s="99"/>
      <c r="J200" s="490"/>
    </row>
    <row r="201" spans="1:14">
      <c r="A201" s="394"/>
      <c r="B201" s="99"/>
      <c r="C201" s="99" t="s">
        <v>1445</v>
      </c>
      <c r="D201" s="99"/>
      <c r="E201" s="99"/>
      <c r="F201" s="99"/>
      <c r="G201" s="99"/>
      <c r="H201" s="99"/>
      <c r="I201" s="99"/>
      <c r="J201" s="490"/>
      <c r="L201"/>
    </row>
    <row r="202" spans="1:14">
      <c r="A202" s="394"/>
      <c r="B202" s="99"/>
      <c r="C202" s="99" t="s">
        <v>1447</v>
      </c>
      <c r="D202" s="99"/>
      <c r="E202" s="99"/>
      <c r="F202" s="99"/>
      <c r="G202" s="99"/>
      <c r="H202" s="99"/>
      <c r="I202" s="99"/>
      <c r="J202" s="490"/>
    </row>
    <row r="203" spans="1:14">
      <c r="A203" s="394"/>
      <c r="B203" s="99"/>
      <c r="C203" s="99" t="s">
        <v>1448</v>
      </c>
      <c r="D203" s="99"/>
      <c r="E203" s="99"/>
      <c r="F203" s="99"/>
      <c r="G203" s="99"/>
      <c r="H203" s="99"/>
      <c r="I203" s="99"/>
      <c r="J203" s="490"/>
    </row>
    <row r="204" spans="1:14">
      <c r="A204" s="394"/>
      <c r="B204" s="99"/>
      <c r="C204" s="99" t="s">
        <v>1449</v>
      </c>
      <c r="D204" s="99"/>
      <c r="E204" s="99"/>
      <c r="F204" s="99"/>
      <c r="G204" s="99"/>
      <c r="H204" s="99"/>
      <c r="I204" s="99"/>
      <c r="J204" s="490"/>
    </row>
    <row r="205" spans="1:14">
      <c r="A205" s="394"/>
      <c r="B205" s="99"/>
      <c r="C205" s="99" t="s">
        <v>1450</v>
      </c>
      <c r="D205" s="99"/>
      <c r="E205" s="99"/>
      <c r="F205" s="99"/>
      <c r="G205" s="99"/>
      <c r="H205" s="99"/>
      <c r="I205" s="99"/>
      <c r="J205" s="490"/>
    </row>
    <row r="206" spans="1:14">
      <c r="A206" s="394"/>
      <c r="B206" s="99"/>
      <c r="C206" s="99" t="s">
        <v>1852</v>
      </c>
      <c r="D206" s="99"/>
      <c r="E206" s="99"/>
      <c r="F206" s="99"/>
      <c r="G206" s="99"/>
      <c r="H206" s="99"/>
      <c r="I206" s="99"/>
      <c r="J206" s="490"/>
      <c r="N206" s="4"/>
    </row>
    <row r="207" spans="1:14">
      <c r="A207" s="394"/>
      <c r="B207" s="1878" t="s">
        <v>2136</v>
      </c>
      <c r="C207" s="824" t="s">
        <v>1853</v>
      </c>
      <c r="D207" s="1036"/>
      <c r="F207" s="1037"/>
      <c r="G207" s="1036"/>
      <c r="H207" s="1036"/>
      <c r="I207" s="1036"/>
      <c r="J207" s="490"/>
      <c r="N207" s="1400"/>
    </row>
    <row r="208" spans="1:14">
      <c r="A208" s="394"/>
      <c r="B208" s="1876" t="s">
        <v>2137</v>
      </c>
      <c r="C208" s="1271"/>
      <c r="D208" s="1271"/>
      <c r="E208" s="1022"/>
      <c r="F208" s="1402"/>
      <c r="G208" s="1399"/>
      <c r="H208" s="826" t="s">
        <v>941</v>
      </c>
      <c r="I208" s="99"/>
      <c r="J208" s="490"/>
      <c r="N208" s="4"/>
    </row>
    <row r="209" spans="1:14">
      <c r="A209" s="394"/>
      <c r="B209" s="99"/>
      <c r="C209" s="99" t="s">
        <v>2708</v>
      </c>
      <c r="D209" s="734"/>
      <c r="E209" s="2339"/>
      <c r="F209" s="2240"/>
      <c r="G209" s="734"/>
      <c r="I209" s="99"/>
      <c r="J209" s="490"/>
      <c r="L209" s="19"/>
    </row>
    <row r="210" spans="1:14">
      <c r="A210" s="394"/>
      <c r="B210" s="99"/>
      <c r="C210" s="99" t="s">
        <v>2700</v>
      </c>
      <c r="D210" s="99"/>
      <c r="E210" s="99"/>
      <c r="F210" s="99"/>
      <c r="G210" s="99"/>
      <c r="H210" s="99"/>
      <c r="I210" s="99"/>
      <c r="J210" s="490"/>
      <c r="L210"/>
      <c r="N210" s="1398"/>
    </row>
    <row r="211" spans="1:14">
      <c r="A211" s="394"/>
      <c r="B211" s="99"/>
      <c r="C211" s="99" t="s">
        <v>2698</v>
      </c>
      <c r="D211" s="107"/>
      <c r="E211" s="99"/>
      <c r="F211" s="99"/>
      <c r="G211" s="99"/>
      <c r="H211" s="99"/>
      <c r="I211" s="99"/>
      <c r="J211" s="490"/>
    </row>
    <row r="212" spans="1:14">
      <c r="A212" s="394"/>
      <c r="B212" s="99"/>
      <c r="C212" s="99" t="s">
        <v>2699</v>
      </c>
      <c r="D212" s="99"/>
      <c r="E212" s="99"/>
      <c r="F212" s="99"/>
      <c r="G212" s="99"/>
      <c r="H212" s="99"/>
      <c r="I212" s="99"/>
      <c r="J212" s="490"/>
      <c r="L212" s="2"/>
    </row>
    <row r="213" spans="1:14">
      <c r="A213" s="394"/>
      <c r="B213" s="99"/>
      <c r="C213" s="99" t="s">
        <v>2701</v>
      </c>
      <c r="D213" s="99"/>
      <c r="E213" s="99"/>
      <c r="F213" s="99"/>
      <c r="G213" s="99"/>
      <c r="H213" s="99"/>
      <c r="I213" s="99"/>
      <c r="J213" s="490"/>
      <c r="L213"/>
    </row>
    <row r="214" spans="1:14">
      <c r="A214" s="394"/>
      <c r="B214" s="99"/>
      <c r="C214" s="99" t="s">
        <v>2702</v>
      </c>
      <c r="D214" s="99"/>
      <c r="E214" s="99"/>
      <c r="F214" s="99"/>
      <c r="G214" s="99"/>
      <c r="H214" s="99"/>
      <c r="I214" s="99"/>
      <c r="J214" s="490"/>
      <c r="M214" s="5"/>
    </row>
    <row r="215" spans="1:14">
      <c r="A215" s="394"/>
      <c r="B215" s="99"/>
      <c r="C215" s="99" t="s">
        <v>2703</v>
      </c>
      <c r="D215" s="99"/>
      <c r="E215" s="99"/>
      <c r="F215" s="99"/>
      <c r="G215" s="99"/>
      <c r="H215" s="99"/>
      <c r="I215" s="99"/>
      <c r="J215" s="490"/>
      <c r="M215" s="10"/>
    </row>
    <row r="216" spans="1:14">
      <c r="A216" s="394"/>
      <c r="B216" s="99"/>
      <c r="C216" s="99" t="s">
        <v>2704</v>
      </c>
      <c r="D216" s="99"/>
      <c r="E216" s="99"/>
      <c r="F216" s="99"/>
      <c r="G216" s="99"/>
      <c r="H216" s="99"/>
      <c r="I216" s="99"/>
      <c r="J216" s="490"/>
    </row>
    <row r="217" spans="1:14">
      <c r="A217" s="394"/>
      <c r="B217" s="99"/>
      <c r="C217" s="99" t="s">
        <v>2705</v>
      </c>
      <c r="D217" s="99"/>
      <c r="E217" s="99"/>
      <c r="F217" s="99"/>
      <c r="G217" s="99"/>
      <c r="H217" s="1879" t="s">
        <v>2138</v>
      </c>
      <c r="J217" s="490"/>
    </row>
    <row r="218" spans="1:14">
      <c r="A218" s="394"/>
      <c r="B218" s="99"/>
      <c r="C218" s="99" t="s">
        <v>2706</v>
      </c>
      <c r="D218" s="99"/>
      <c r="E218" s="99"/>
      <c r="F218" s="99"/>
      <c r="G218" s="99"/>
      <c r="H218" s="99"/>
      <c r="I218" s="99"/>
      <c r="J218" s="490"/>
    </row>
    <row r="219" spans="1:14">
      <c r="A219" s="394"/>
      <c r="B219" s="99"/>
      <c r="C219" s="99" t="s">
        <v>2707</v>
      </c>
      <c r="D219" s="99"/>
      <c r="E219" s="99"/>
      <c r="F219" s="99"/>
      <c r="G219" s="99"/>
      <c r="H219" s="99"/>
      <c r="I219" s="99"/>
      <c r="J219" s="490"/>
    </row>
    <row r="220" spans="1:14">
      <c r="A220" s="394"/>
      <c r="B220" s="99"/>
      <c r="C220" s="1022"/>
      <c r="D220" s="1036"/>
      <c r="E220" s="1036"/>
      <c r="F220" s="1036"/>
      <c r="G220" s="1036"/>
      <c r="H220" s="99"/>
      <c r="I220" s="99"/>
      <c r="J220" s="490"/>
      <c r="L220" s="1194"/>
      <c r="M220" s="3"/>
    </row>
    <row r="221" spans="1:14" ht="15.6">
      <c r="A221" s="394"/>
      <c r="B221" s="99"/>
      <c r="C221" s="1018" t="s">
        <v>1851</v>
      </c>
      <c r="D221" s="2340"/>
      <c r="F221" s="2341"/>
      <c r="G221" s="2341"/>
      <c r="H221" s="99"/>
      <c r="I221" s="99"/>
      <c r="J221" s="490"/>
      <c r="L221" s="1183"/>
    </row>
    <row r="222" spans="1:14" ht="15.6">
      <c r="A222" s="394"/>
      <c r="B222" s="1401"/>
      <c r="C222" s="337" t="s">
        <v>1455</v>
      </c>
      <c r="D222" s="99"/>
      <c r="E222" s="99"/>
      <c r="F222" s="99"/>
      <c r="G222" s="832"/>
      <c r="H222" s="99"/>
      <c r="I222" s="99"/>
      <c r="J222" s="490"/>
    </row>
    <row r="223" spans="1:14" ht="15.6">
      <c r="A223" s="394"/>
      <c r="B223" s="2342" t="s">
        <v>2709</v>
      </c>
      <c r="C223" s="337" t="s">
        <v>1456</v>
      </c>
      <c r="D223" s="343"/>
      <c r="E223" s="343"/>
      <c r="F223" s="343"/>
      <c r="G223" s="1195" t="s">
        <v>1458</v>
      </c>
      <c r="H223" s="99"/>
      <c r="I223" s="99"/>
      <c r="J223" s="490"/>
    </row>
    <row r="224" spans="1:14">
      <c r="A224" s="394"/>
      <c r="B224" s="2340" t="s">
        <v>2710</v>
      </c>
      <c r="C224" s="1050" t="s">
        <v>1457</v>
      </c>
      <c r="D224" s="343"/>
      <c r="E224" s="344"/>
      <c r="F224" s="343"/>
      <c r="G224" s="99"/>
      <c r="H224" s="99"/>
      <c r="I224" s="99"/>
      <c r="J224" s="490"/>
    </row>
    <row r="225" spans="1:12" ht="15" customHeight="1">
      <c r="A225" s="1313"/>
      <c r="C225" s="1184"/>
      <c r="D225" s="727"/>
      <c r="E225" s="727"/>
      <c r="F225" s="727"/>
      <c r="G225" s="502"/>
      <c r="H225" s="502"/>
      <c r="I225" s="99"/>
      <c r="J225" s="499"/>
      <c r="L225" s="26"/>
    </row>
    <row r="226" spans="1:12" ht="15.6">
      <c r="A226" s="500"/>
      <c r="B226" s="379"/>
      <c r="C226" s="99"/>
      <c r="D226" s="1038" t="s">
        <v>942</v>
      </c>
      <c r="E226" s="391"/>
      <c r="F226" s="391"/>
      <c r="G226" s="391"/>
      <c r="H226" s="391"/>
      <c r="I226" s="2337" t="s">
        <v>508</v>
      </c>
      <c r="J226" s="487"/>
      <c r="K226" s="26"/>
    </row>
    <row r="227" spans="1:12">
      <c r="A227" s="394"/>
      <c r="B227" s="123"/>
      <c r="C227" s="99"/>
      <c r="D227" s="1253" t="s">
        <v>1612</v>
      </c>
      <c r="E227" s="99"/>
      <c r="F227" s="99"/>
      <c r="G227" s="99"/>
      <c r="H227" s="99"/>
      <c r="I227" s="99"/>
      <c r="J227" s="490"/>
    </row>
    <row r="228" spans="1:12">
      <c r="A228" s="394"/>
      <c r="B228" s="99" t="s">
        <v>1459</v>
      </c>
      <c r="C228" s="99"/>
      <c r="D228" s="99"/>
      <c r="E228" s="99"/>
      <c r="F228" s="99"/>
      <c r="G228" s="99"/>
      <c r="H228" s="99"/>
      <c r="I228" s="99"/>
      <c r="J228" s="490"/>
    </row>
    <row r="229" spans="1:12">
      <c r="A229" s="394"/>
      <c r="B229" s="99" t="s">
        <v>1460</v>
      </c>
      <c r="C229" s="99"/>
      <c r="D229" s="99"/>
      <c r="E229" s="99"/>
      <c r="F229" s="99"/>
      <c r="G229" s="99"/>
      <c r="H229" s="99"/>
      <c r="I229" s="99"/>
      <c r="J229" s="490"/>
    </row>
    <row r="230" spans="1:12">
      <c r="A230" s="394"/>
      <c r="B230" s="99"/>
      <c r="C230" s="99"/>
      <c r="D230" s="99"/>
      <c r="E230" s="99"/>
      <c r="F230" s="99"/>
      <c r="G230" s="99"/>
      <c r="H230" s="99"/>
      <c r="I230" s="99"/>
      <c r="J230" s="490"/>
    </row>
    <row r="231" spans="1:12">
      <c r="A231" s="394"/>
      <c r="B231" s="349" t="s">
        <v>943</v>
      </c>
      <c r="C231" s="824" t="s">
        <v>1461</v>
      </c>
      <c r="D231" s="99"/>
      <c r="E231" s="99"/>
      <c r="F231" s="99"/>
      <c r="G231" s="99"/>
      <c r="H231" s="99"/>
      <c r="I231" s="99"/>
      <c r="J231" s="490"/>
    </row>
    <row r="232" spans="1:12">
      <c r="A232" s="394"/>
      <c r="B232" s="551"/>
      <c r="C232" s="824" t="s">
        <v>2734</v>
      </c>
      <c r="D232" s="99"/>
      <c r="E232" s="99"/>
      <c r="F232" s="99"/>
      <c r="G232" s="99"/>
      <c r="H232" s="99"/>
      <c r="I232" s="99"/>
      <c r="J232" s="490"/>
      <c r="L232"/>
    </row>
    <row r="233" spans="1:12">
      <c r="A233" s="394"/>
      <c r="B233" s="99"/>
      <c r="C233" s="824" t="s">
        <v>2735</v>
      </c>
      <c r="D233" s="99"/>
      <c r="E233" s="99"/>
      <c r="F233" s="99"/>
      <c r="G233" s="99"/>
      <c r="H233" s="99"/>
      <c r="I233" s="99"/>
      <c r="J233" s="490"/>
    </row>
    <row r="234" spans="1:12">
      <c r="A234" s="394"/>
      <c r="B234" s="123"/>
      <c r="C234" s="824" t="s">
        <v>2736</v>
      </c>
      <c r="D234" s="99"/>
      <c r="E234" s="99"/>
      <c r="F234" s="99"/>
      <c r="G234" s="99"/>
      <c r="H234" s="99"/>
      <c r="I234" s="99"/>
      <c r="J234" s="490"/>
    </row>
    <row r="235" spans="1:12">
      <c r="A235" s="394"/>
      <c r="B235" s="123"/>
      <c r="C235" s="824" t="s">
        <v>2737</v>
      </c>
      <c r="D235" s="99"/>
      <c r="E235" s="99"/>
      <c r="F235" s="99"/>
      <c r="G235" s="99"/>
      <c r="H235" s="99"/>
      <c r="I235" s="99"/>
      <c r="J235" s="490"/>
    </row>
    <row r="236" spans="1:12">
      <c r="A236" s="394"/>
      <c r="B236" s="123"/>
      <c r="C236" s="273"/>
      <c r="D236" s="99"/>
      <c r="E236" s="99"/>
      <c r="F236" s="99"/>
      <c r="G236" s="99"/>
      <c r="H236" s="99"/>
      <c r="I236" s="99"/>
      <c r="J236" s="490"/>
      <c r="L236"/>
    </row>
    <row r="237" spans="1:12">
      <c r="A237" s="394"/>
      <c r="B237" s="123"/>
      <c r="C237" s="273"/>
      <c r="D237" s="99"/>
      <c r="E237" s="99"/>
      <c r="F237" s="551" t="s">
        <v>944</v>
      </c>
      <c r="G237" s="105"/>
      <c r="H237" s="99"/>
      <c r="I237" s="99"/>
      <c r="J237" s="490"/>
    </row>
    <row r="238" spans="1:12">
      <c r="A238" s="394"/>
      <c r="B238" s="123"/>
      <c r="C238" s="605" t="s">
        <v>951</v>
      </c>
      <c r="D238" s="971">
        <v>3600</v>
      </c>
      <c r="E238" s="99" t="s">
        <v>953</v>
      </c>
      <c r="F238" s="111"/>
      <c r="G238" s="111" t="s">
        <v>945</v>
      </c>
      <c r="H238" s="970">
        <f>1/3600</f>
        <v>2.7777777777777778E-4</v>
      </c>
      <c r="I238" s="99" t="s">
        <v>946</v>
      </c>
      <c r="J238" s="490"/>
      <c r="L238"/>
    </row>
    <row r="239" spans="1:12">
      <c r="A239" s="394"/>
      <c r="B239" s="99"/>
      <c r="C239" s="99"/>
      <c r="D239" s="99"/>
      <c r="E239" s="99"/>
      <c r="F239" s="99"/>
      <c r="G239" s="99"/>
      <c r="H239" s="99"/>
      <c r="I239" s="99"/>
      <c r="J239" s="490"/>
      <c r="L239"/>
    </row>
    <row r="240" spans="1:12">
      <c r="A240" s="394"/>
      <c r="B240" s="123"/>
      <c r="C240" s="273" t="s">
        <v>1462</v>
      </c>
      <c r="D240" s="99"/>
      <c r="E240" s="99"/>
      <c r="F240" s="99"/>
      <c r="G240" s="99"/>
      <c r="H240" s="99"/>
      <c r="I240" s="99"/>
      <c r="J240" s="490"/>
      <c r="L240"/>
    </row>
    <row r="241" spans="1:12">
      <c r="A241" s="394"/>
      <c r="B241" s="123"/>
      <c r="C241" s="273" t="s">
        <v>1463</v>
      </c>
      <c r="D241" s="99"/>
      <c r="E241" s="99"/>
      <c r="F241" s="99"/>
      <c r="G241" s="99"/>
      <c r="H241" s="99"/>
      <c r="I241" s="99"/>
      <c r="J241" s="490"/>
    </row>
    <row r="242" spans="1:12">
      <c r="A242" s="394"/>
      <c r="B242" s="123"/>
      <c r="C242" s="99"/>
      <c r="D242" s="99"/>
      <c r="E242" s="99"/>
      <c r="F242" s="99"/>
      <c r="G242" s="99"/>
      <c r="H242" s="99"/>
      <c r="I242" s="99"/>
      <c r="J242" s="490"/>
      <c r="L242"/>
    </row>
    <row r="243" spans="1:12">
      <c r="A243" s="394"/>
      <c r="B243" s="123"/>
      <c r="C243" s="99"/>
      <c r="D243" s="99"/>
      <c r="E243" s="111" t="s">
        <v>988</v>
      </c>
      <c r="F243" s="1480">
        <f>1/TAN(H238*PI()/180)</f>
        <v>206264.80624548031</v>
      </c>
      <c r="G243" s="99" t="s">
        <v>947</v>
      </c>
      <c r="H243" s="979"/>
      <c r="I243" s="304"/>
      <c r="J243" s="490"/>
      <c r="L243"/>
    </row>
    <row r="244" spans="1:12">
      <c r="A244" s="394"/>
      <c r="B244" s="123"/>
      <c r="C244" s="99"/>
      <c r="D244" s="99"/>
      <c r="E244" s="111" t="s">
        <v>988</v>
      </c>
      <c r="F244" s="1481">
        <f>F243*0.0000158125</f>
        <v>3.2615622487566576</v>
      </c>
      <c r="G244" s="99" t="s">
        <v>948</v>
      </c>
      <c r="H244" s="316"/>
      <c r="I244" s="302"/>
      <c r="J244" s="490"/>
      <c r="L244"/>
    </row>
    <row r="245" spans="1:12">
      <c r="A245" s="394"/>
      <c r="B245" s="123"/>
      <c r="C245" s="273"/>
      <c r="D245" s="99"/>
      <c r="E245" s="99"/>
      <c r="F245" s="99"/>
      <c r="G245" s="99"/>
      <c r="H245" s="99"/>
      <c r="I245" s="99"/>
      <c r="J245" s="490"/>
      <c r="L245"/>
    </row>
    <row r="246" spans="1:12">
      <c r="A246" s="394"/>
      <c r="B246" s="1865" t="s">
        <v>480</v>
      </c>
      <c r="C246" s="122" t="s">
        <v>57</v>
      </c>
      <c r="D246" s="99" t="s">
        <v>2738</v>
      </c>
      <c r="E246" s="99"/>
      <c r="F246" s="99"/>
      <c r="G246" s="99"/>
      <c r="H246" s="99"/>
      <c r="I246" s="99"/>
      <c r="J246" s="490"/>
      <c r="L246"/>
    </row>
    <row r="247" spans="1:12">
      <c r="A247" s="394"/>
      <c r="B247" s="344" t="s">
        <v>2592</v>
      </c>
      <c r="C247" s="99"/>
      <c r="D247" s="105" t="s">
        <v>3</v>
      </c>
      <c r="E247" s="99"/>
      <c r="F247" s="99"/>
      <c r="G247" s="105" t="s">
        <v>4</v>
      </c>
      <c r="H247" s="99"/>
      <c r="I247" s="99"/>
      <c r="J247" s="490"/>
    </row>
    <row r="248" spans="1:12">
      <c r="A248" s="394"/>
      <c r="B248" s="344" t="s">
        <v>2593</v>
      </c>
      <c r="C248" s="111" t="s">
        <v>1318</v>
      </c>
      <c r="D248" s="266">
        <v>0.76800000000000002</v>
      </c>
      <c r="E248" s="351" t="s">
        <v>950</v>
      </c>
      <c r="F248" s="111" t="s">
        <v>1723</v>
      </c>
      <c r="G248" s="1365">
        <f>F244/D248</f>
        <v>4.2468258447352314</v>
      </c>
      <c r="H248" s="99" t="s">
        <v>948</v>
      </c>
      <c r="I248" s="360"/>
      <c r="J248" s="873"/>
    </row>
    <row r="249" spans="1:12">
      <c r="A249" s="394"/>
      <c r="B249" s="99"/>
      <c r="C249" s="99"/>
      <c r="D249" s="26"/>
      <c r="E249" s="99"/>
      <c r="F249" s="111" t="s">
        <v>1722</v>
      </c>
      <c r="G249" s="1482">
        <f>G248/F244</f>
        <v>1.3020833333333335</v>
      </c>
      <c r="H249" s="99" t="s">
        <v>954</v>
      </c>
      <c r="I249" s="313"/>
      <c r="J249" s="873"/>
    </row>
    <row r="250" spans="1:12">
      <c r="A250" s="394"/>
      <c r="B250" s="349" t="s">
        <v>959</v>
      </c>
      <c r="C250" s="99"/>
      <c r="D250" s="99"/>
      <c r="E250" s="99"/>
      <c r="F250" s="99"/>
      <c r="G250" s="99"/>
      <c r="H250" s="99"/>
      <c r="I250" s="99"/>
      <c r="J250" s="490"/>
      <c r="L250"/>
    </row>
    <row r="251" spans="1:12">
      <c r="A251" s="394"/>
      <c r="B251" s="99" t="s">
        <v>2332</v>
      </c>
      <c r="C251" s="105"/>
      <c r="D251" s="99"/>
      <c r="E251" s="99"/>
      <c r="F251" s="99"/>
      <c r="G251" s="99"/>
      <c r="H251" s="99"/>
      <c r="I251" s="99"/>
      <c r="J251" s="490"/>
      <c r="L251" s="980"/>
    </row>
    <row r="252" spans="1:12">
      <c r="A252" s="394"/>
      <c r="B252" s="99" t="s">
        <v>1320</v>
      </c>
      <c r="C252" s="105"/>
      <c r="D252" s="99"/>
      <c r="E252" s="99"/>
      <c r="F252" s="99"/>
      <c r="G252" s="99"/>
      <c r="H252" s="99"/>
      <c r="I252" s="99"/>
      <c r="J252" s="490"/>
      <c r="L252" s="26"/>
    </row>
    <row r="253" spans="1:12">
      <c r="A253" s="394"/>
      <c r="B253" s="99" t="s">
        <v>1319</v>
      </c>
      <c r="C253" s="105"/>
      <c r="D253" s="99"/>
      <c r="E253" s="99"/>
      <c r="F253" s="99"/>
      <c r="G253" s="99"/>
      <c r="H253" s="99"/>
      <c r="I253" s="99"/>
      <c r="J253" s="490"/>
      <c r="L253"/>
    </row>
    <row r="254" spans="1:12">
      <c r="A254" s="394"/>
      <c r="B254" s="99" t="s">
        <v>1321</v>
      </c>
      <c r="C254" s="105"/>
      <c r="D254" s="99"/>
      <c r="E254" s="99"/>
      <c r="F254" s="99"/>
      <c r="G254" s="99"/>
      <c r="H254" s="99"/>
      <c r="I254" s="99"/>
      <c r="J254" s="490"/>
      <c r="L254" s="26" t="s">
        <v>359</v>
      </c>
    </row>
    <row r="255" spans="1:12">
      <c r="A255" s="394"/>
      <c r="B255" s="99"/>
      <c r="C255" s="99" t="s">
        <v>1464</v>
      </c>
      <c r="D255" s="99"/>
      <c r="E255" s="99"/>
      <c r="F255" s="99"/>
      <c r="G255" s="99"/>
      <c r="H255" s="99"/>
      <c r="I255" s="99"/>
      <c r="J255" s="490"/>
      <c r="L255" s="26"/>
    </row>
    <row r="256" spans="1:12" ht="16.2">
      <c r="A256" s="394"/>
      <c r="B256" s="99"/>
      <c r="C256" s="99" t="s">
        <v>1465</v>
      </c>
      <c r="D256" s="99"/>
      <c r="E256" s="99"/>
      <c r="F256" s="123" t="s">
        <v>2337</v>
      </c>
      <c r="G256" s="99"/>
      <c r="H256" s="99"/>
      <c r="I256" s="99"/>
      <c r="J256" s="490"/>
    </row>
    <row r="257" spans="1:12">
      <c r="A257" s="394"/>
      <c r="B257" s="99"/>
      <c r="C257" s="105"/>
      <c r="D257" s="99"/>
      <c r="E257" s="99"/>
      <c r="F257" s="99"/>
      <c r="G257" s="99"/>
      <c r="H257" s="99"/>
      <c r="I257" s="99"/>
      <c r="J257" s="490"/>
      <c r="L257" s="26"/>
    </row>
    <row r="258" spans="1:12" ht="16.2">
      <c r="A258" s="394"/>
      <c r="B258" s="112" t="s">
        <v>2333</v>
      </c>
      <c r="C258" s="981"/>
      <c r="D258" s="982"/>
      <c r="E258" s="105" t="s">
        <v>2334</v>
      </c>
      <c r="F258" s="972"/>
      <c r="G258" s="973"/>
      <c r="H258" s="823" t="s">
        <v>159</v>
      </c>
      <c r="I258" s="793"/>
      <c r="J258" s="873"/>
    </row>
    <row r="259" spans="1:12">
      <c r="A259" s="394"/>
      <c r="B259" s="99"/>
      <c r="C259" s="983"/>
      <c r="D259" s="984"/>
      <c r="E259" s="99"/>
      <c r="F259" s="974"/>
      <c r="G259" s="976"/>
      <c r="H259" s="99"/>
      <c r="I259" s="795"/>
      <c r="J259" s="873"/>
    </row>
    <row r="260" spans="1:12">
      <c r="A260" s="394"/>
      <c r="B260" s="99"/>
      <c r="C260" s="99"/>
      <c r="D260" s="110"/>
      <c r="E260" s="110"/>
      <c r="F260" s="110"/>
      <c r="G260" s="110"/>
      <c r="H260" s="110"/>
      <c r="I260" s="110"/>
      <c r="J260" s="490"/>
    </row>
    <row r="261" spans="1:12" ht="16.2">
      <c r="A261" s="394"/>
      <c r="B261" s="99"/>
      <c r="C261" s="110" t="s">
        <v>2335</v>
      </c>
      <c r="D261" s="99"/>
      <c r="E261" s="99"/>
      <c r="F261" s="99"/>
      <c r="G261" s="99"/>
      <c r="H261" s="99"/>
      <c r="I261" s="99"/>
      <c r="J261" s="490"/>
      <c r="L261"/>
    </row>
    <row r="262" spans="1:12" ht="16.2">
      <c r="A262" s="394"/>
      <c r="C262" s="110" t="s">
        <v>2336</v>
      </c>
      <c r="D262" s="99"/>
      <c r="E262" s="99"/>
      <c r="F262" s="99"/>
      <c r="G262" s="99"/>
      <c r="H262" s="99"/>
      <c r="I262" s="99"/>
      <c r="J262" s="490"/>
      <c r="L262" s="962"/>
    </row>
    <row r="263" spans="1:12">
      <c r="A263" s="1206"/>
      <c r="B263" s="1860" t="s">
        <v>2139</v>
      </c>
      <c r="D263" s="99"/>
      <c r="E263" s="99"/>
      <c r="F263" s="349" t="s">
        <v>2338</v>
      </c>
      <c r="G263" s="99"/>
      <c r="H263" s="99"/>
      <c r="I263" s="99"/>
      <c r="J263" s="490"/>
      <c r="L263"/>
    </row>
    <row r="264" spans="1:12" ht="6.75" customHeight="1">
      <c r="A264" s="496"/>
      <c r="B264" s="1039"/>
      <c r="C264" s="502"/>
      <c r="D264" s="502"/>
      <c r="E264" s="502"/>
      <c r="F264" s="502"/>
      <c r="G264" s="502"/>
      <c r="H264" s="502"/>
      <c r="I264" s="99"/>
      <c r="J264" s="499"/>
      <c r="L264"/>
    </row>
    <row r="265" spans="1:12" ht="15.6">
      <c r="A265" s="500"/>
      <c r="B265" s="391"/>
      <c r="C265" s="391"/>
      <c r="D265" s="391"/>
      <c r="E265" s="391"/>
      <c r="F265" s="391"/>
      <c r="G265" s="391"/>
      <c r="H265" s="391"/>
      <c r="I265" s="2337" t="s">
        <v>509</v>
      </c>
      <c r="J265" s="487"/>
      <c r="L265"/>
    </row>
    <row r="266" spans="1:12">
      <c r="A266" s="394"/>
      <c r="B266" s="99" t="s">
        <v>1466</v>
      </c>
      <c r="C266" s="99"/>
      <c r="D266" s="99"/>
      <c r="E266" s="99"/>
      <c r="F266" s="99"/>
      <c r="G266" s="99"/>
      <c r="H266" s="99"/>
      <c r="I266" s="99"/>
      <c r="J266" s="490"/>
    </row>
    <row r="267" spans="1:12">
      <c r="A267" s="394"/>
      <c r="B267" s="99" t="s">
        <v>2500</v>
      </c>
      <c r="C267" s="99"/>
      <c r="D267" s="99"/>
      <c r="E267" s="99"/>
      <c r="F267" s="99"/>
      <c r="G267" s="99"/>
      <c r="H267" s="99"/>
      <c r="I267" s="99"/>
      <c r="J267" s="490"/>
    </row>
    <row r="268" spans="1:12">
      <c r="A268" s="394"/>
      <c r="B268" s="99" t="s">
        <v>1467</v>
      </c>
      <c r="C268" s="99"/>
      <c r="D268" s="99"/>
      <c r="E268" s="99"/>
      <c r="F268" s="99"/>
      <c r="G268" s="99"/>
      <c r="H268" s="99"/>
      <c r="I268" s="99"/>
      <c r="J268" s="490"/>
    </row>
    <row r="269" spans="1:12">
      <c r="A269" s="394"/>
      <c r="B269" s="396" t="s">
        <v>1526</v>
      </c>
      <c r="C269" s="99"/>
      <c r="E269" s="99"/>
      <c r="F269" s="99"/>
      <c r="G269" s="99"/>
      <c r="H269" s="99"/>
      <c r="I269" s="99"/>
      <c r="J269" s="490"/>
      <c r="L269"/>
    </row>
    <row r="270" spans="1:12">
      <c r="A270" s="394"/>
      <c r="B270" s="99" t="s">
        <v>1468</v>
      </c>
      <c r="C270" s="99"/>
      <c r="D270" s="99"/>
      <c r="E270" s="551"/>
      <c r="F270" s="99"/>
      <c r="G270" s="99"/>
      <c r="H270" s="99"/>
      <c r="I270" s="99"/>
      <c r="J270" s="490"/>
    </row>
    <row r="271" spans="1:12">
      <c r="A271" s="394"/>
      <c r="B271" s="99" t="s">
        <v>1509</v>
      </c>
      <c r="C271" s="99"/>
      <c r="D271" s="99"/>
      <c r="E271" s="99"/>
      <c r="F271" s="99"/>
      <c r="G271" s="99"/>
      <c r="H271" s="99"/>
      <c r="I271" s="99"/>
      <c r="J271" s="490"/>
      <c r="L271"/>
    </row>
    <row r="272" spans="1:12">
      <c r="A272" s="394"/>
      <c r="B272" s="99" t="s">
        <v>1469</v>
      </c>
      <c r="C272" s="99"/>
      <c r="D272" s="99"/>
      <c r="E272" s="99"/>
      <c r="F272" s="99"/>
      <c r="G272" s="99"/>
      <c r="H272" s="99"/>
      <c r="I272" s="99"/>
      <c r="J272" s="490"/>
    </row>
    <row r="273" spans="1:12">
      <c r="A273" s="394"/>
      <c r="B273" s="99"/>
      <c r="C273" s="99"/>
      <c r="D273" s="99"/>
      <c r="E273" s="99"/>
      <c r="F273" s="99"/>
      <c r="G273" s="99"/>
      <c r="H273" s="99"/>
      <c r="I273" s="99"/>
      <c r="J273" s="490"/>
      <c r="L273"/>
    </row>
    <row r="274" spans="1:12">
      <c r="A274" s="394"/>
      <c r="B274" s="349" t="s">
        <v>960</v>
      </c>
      <c r="C274" s="99"/>
      <c r="D274" s="99"/>
      <c r="E274" s="99"/>
      <c r="F274" s="1005"/>
      <c r="G274" s="973"/>
      <c r="H274" s="99" t="s">
        <v>962</v>
      </c>
      <c r="I274" s="99"/>
      <c r="J274" s="490"/>
    </row>
    <row r="275" spans="1:12">
      <c r="A275" s="394"/>
      <c r="B275" s="99"/>
      <c r="C275" s="99"/>
      <c r="D275" s="99"/>
      <c r="E275" s="99"/>
      <c r="F275" s="974"/>
      <c r="G275" s="976"/>
      <c r="H275" s="99" t="s">
        <v>961</v>
      </c>
      <c r="I275" s="99"/>
      <c r="J275" s="490"/>
    </row>
    <row r="276" spans="1:12">
      <c r="A276" s="394"/>
      <c r="B276" s="349"/>
      <c r="C276" s="99"/>
      <c r="D276" s="99"/>
      <c r="E276" s="99"/>
      <c r="F276" s="99"/>
      <c r="G276" s="99"/>
      <c r="H276" s="99"/>
      <c r="I276" s="99"/>
      <c r="J276" s="490"/>
    </row>
    <row r="277" spans="1:12">
      <c r="A277" s="394"/>
      <c r="B277" s="99"/>
      <c r="C277" s="99"/>
      <c r="D277" s="349" t="s">
        <v>57</v>
      </c>
      <c r="E277" s="123" t="s">
        <v>958</v>
      </c>
      <c r="F277" s="273" t="s">
        <v>1657</v>
      </c>
      <c r="G277" s="99"/>
      <c r="H277" s="99"/>
      <c r="I277" s="99"/>
      <c r="J277" s="490"/>
      <c r="L277"/>
    </row>
    <row r="278" spans="1:12">
      <c r="A278" s="394"/>
      <c r="B278" s="99"/>
      <c r="C278" s="99"/>
      <c r="D278" s="99"/>
      <c r="E278" s="122" t="s">
        <v>957</v>
      </c>
      <c r="F278" s="273" t="s">
        <v>1658</v>
      </c>
      <c r="G278" s="99"/>
      <c r="H278" s="99"/>
      <c r="I278" s="99"/>
      <c r="J278" s="490"/>
    </row>
    <row r="279" spans="1:12">
      <c r="A279" s="394"/>
      <c r="B279" s="99"/>
      <c r="C279" s="99"/>
      <c r="D279" s="99"/>
      <c r="E279" s="273"/>
      <c r="F279" s="99"/>
      <c r="G279" s="99"/>
      <c r="H279" s="99"/>
      <c r="I279" s="99"/>
      <c r="J279" s="490"/>
    </row>
    <row r="280" spans="1:12">
      <c r="A280" s="394"/>
      <c r="B280" s="99"/>
      <c r="C280" s="99"/>
      <c r="D280" s="99"/>
      <c r="E280" s="99"/>
      <c r="F280" s="105" t="s">
        <v>3</v>
      </c>
      <c r="G280" s="99"/>
      <c r="H280" s="99"/>
      <c r="I280" s="99"/>
      <c r="J280" s="490"/>
      <c r="L280"/>
    </row>
    <row r="281" spans="1:12">
      <c r="A281" s="394"/>
      <c r="B281" s="99"/>
      <c r="C281" s="99"/>
      <c r="D281" s="99"/>
      <c r="E281" s="111" t="s">
        <v>955</v>
      </c>
      <c r="F281" s="266">
        <v>0.15</v>
      </c>
      <c r="G281" s="99"/>
      <c r="H281" s="99"/>
      <c r="I281" s="99"/>
      <c r="J281" s="490"/>
      <c r="L281"/>
    </row>
    <row r="282" spans="1:12">
      <c r="A282" s="394"/>
      <c r="B282" s="99"/>
      <c r="C282" s="99"/>
      <c r="D282" s="99"/>
      <c r="E282" s="605" t="s">
        <v>956</v>
      </c>
      <c r="F282" s="266">
        <v>-6.96</v>
      </c>
      <c r="G282" s="99"/>
      <c r="H282" s="99"/>
      <c r="I282" s="99"/>
      <c r="J282" s="490"/>
    </row>
    <row r="283" spans="1:12">
      <c r="A283" s="394"/>
      <c r="B283" s="99"/>
      <c r="C283" s="99"/>
      <c r="D283" s="99"/>
      <c r="E283" s="99"/>
      <c r="F283" s="99"/>
      <c r="G283" s="99"/>
      <c r="H283" s="99"/>
      <c r="I283" s="99"/>
      <c r="J283" s="490"/>
    </row>
    <row r="284" spans="1:12">
      <c r="A284" s="394"/>
      <c r="B284" s="121"/>
      <c r="C284" s="99"/>
      <c r="D284" s="99"/>
      <c r="E284" s="99"/>
      <c r="F284" s="105" t="s">
        <v>4</v>
      </c>
      <c r="G284" s="99"/>
      <c r="H284" s="314"/>
      <c r="I284" s="304"/>
      <c r="J284" s="490"/>
      <c r="L284"/>
    </row>
    <row r="285" spans="1:12">
      <c r="A285" s="394"/>
      <c r="B285" s="99"/>
      <c r="C285" s="99"/>
      <c r="D285" s="99"/>
      <c r="E285" s="111" t="s">
        <v>2331</v>
      </c>
      <c r="F285" s="1482">
        <f>(F281-F282+5)/5</f>
        <v>2.4219999999999997</v>
      </c>
      <c r="G285" s="99"/>
      <c r="H285" s="316"/>
      <c r="I285" s="302"/>
      <c r="J285" s="490"/>
      <c r="L285" s="626"/>
    </row>
    <row r="286" spans="1:12">
      <c r="A286" s="394"/>
      <c r="B286" s="99"/>
      <c r="C286" s="99"/>
      <c r="D286" s="99"/>
      <c r="E286" s="99"/>
      <c r="F286" s="26"/>
      <c r="G286" s="99"/>
      <c r="H286" s="99"/>
      <c r="I286" s="99"/>
      <c r="J286" s="490"/>
      <c r="L286" s="626"/>
    </row>
    <row r="287" spans="1:12">
      <c r="A287" s="394"/>
      <c r="B287" s="99"/>
      <c r="C287" s="99"/>
      <c r="D287" s="99"/>
      <c r="E287" s="111" t="s">
        <v>977</v>
      </c>
      <c r="F287" s="1365">
        <f>POWER(10,F285)</f>
        <v>264.24087573219452</v>
      </c>
      <c r="G287" s="99" t="s">
        <v>954</v>
      </c>
      <c r="H287" s="979"/>
      <c r="I287" s="304"/>
      <c r="J287" s="490"/>
      <c r="L287" s="626"/>
    </row>
    <row r="288" spans="1:12">
      <c r="A288" s="394"/>
      <c r="B288" s="1865" t="s">
        <v>2140</v>
      </c>
      <c r="C288" s="99"/>
      <c r="D288" s="99"/>
      <c r="E288" s="111" t="s">
        <v>1725</v>
      </c>
      <c r="F288" s="1482">
        <f>F287*F244</f>
        <v>861.83806486652486</v>
      </c>
      <c r="G288" s="99" t="s">
        <v>948</v>
      </c>
      <c r="H288" s="316"/>
      <c r="I288" s="302"/>
      <c r="J288" s="490"/>
      <c r="L288"/>
    </row>
    <row r="289" spans="1:10">
      <c r="A289" s="394"/>
      <c r="B289" s="99"/>
      <c r="C289" s="99"/>
      <c r="D289" s="99"/>
      <c r="E289" s="99"/>
      <c r="F289" s="99"/>
      <c r="G289" s="99"/>
      <c r="H289" s="99"/>
      <c r="I289" s="99"/>
      <c r="J289" s="490"/>
    </row>
    <row r="290" spans="1:10">
      <c r="A290" s="394"/>
      <c r="B290" s="99"/>
      <c r="C290" s="99" t="s">
        <v>963</v>
      </c>
      <c r="D290" s="99"/>
      <c r="E290" s="99"/>
      <c r="F290" s="99"/>
      <c r="G290" s="99"/>
      <c r="H290" s="99"/>
      <c r="I290" s="99"/>
      <c r="J290" s="490"/>
    </row>
    <row r="291" spans="1:10">
      <c r="A291" s="394"/>
      <c r="B291" s="99"/>
      <c r="C291" s="99" t="s">
        <v>965</v>
      </c>
      <c r="D291" s="99"/>
      <c r="E291" s="99"/>
      <c r="F291" s="99"/>
      <c r="G291" s="99"/>
      <c r="H291" s="99"/>
      <c r="I291" s="99"/>
      <c r="J291" s="490"/>
    </row>
    <row r="292" spans="1:10">
      <c r="A292" s="394"/>
      <c r="B292" s="579"/>
      <c r="C292" s="99" t="s">
        <v>966</v>
      </c>
      <c r="D292" s="99"/>
      <c r="E292" s="99"/>
      <c r="F292" s="99"/>
      <c r="G292" s="99"/>
      <c r="H292" s="99"/>
      <c r="I292" s="99"/>
      <c r="J292" s="490"/>
    </row>
    <row r="293" spans="1:10">
      <c r="A293" s="394"/>
      <c r="B293" s="99"/>
      <c r="C293" s="99"/>
      <c r="D293" s="99"/>
      <c r="E293" s="99"/>
      <c r="F293" s="99"/>
      <c r="G293" s="99"/>
      <c r="H293" s="99"/>
      <c r="I293" s="99"/>
      <c r="J293" s="490"/>
    </row>
    <row r="294" spans="1:10">
      <c r="A294" s="394"/>
      <c r="B294" s="99"/>
      <c r="C294" s="99" t="s">
        <v>970</v>
      </c>
      <c r="D294" s="99"/>
      <c r="E294" s="99"/>
      <c r="F294" s="99"/>
      <c r="G294" s="99"/>
      <c r="H294" s="99"/>
      <c r="I294" s="99"/>
      <c r="J294" s="490"/>
    </row>
    <row r="295" spans="1:10">
      <c r="A295" s="394"/>
      <c r="B295" s="99"/>
      <c r="C295" s="99" t="s">
        <v>971</v>
      </c>
      <c r="D295" s="99"/>
      <c r="E295" s="99"/>
      <c r="F295" s="99"/>
      <c r="G295" s="99"/>
      <c r="H295" s="99"/>
      <c r="I295" s="99"/>
      <c r="J295" s="490"/>
    </row>
    <row r="296" spans="1:10">
      <c r="A296" s="394"/>
      <c r="B296" s="99"/>
      <c r="C296" s="99" t="s">
        <v>972</v>
      </c>
      <c r="D296" s="99"/>
      <c r="E296" s="99"/>
      <c r="F296" s="99"/>
      <c r="G296" s="99"/>
      <c r="H296" s="99"/>
      <c r="I296" s="99"/>
      <c r="J296" s="490"/>
    </row>
    <row r="297" spans="1:10">
      <c r="A297" s="394"/>
      <c r="B297" s="99"/>
      <c r="C297" s="99"/>
      <c r="D297" s="99"/>
      <c r="E297" s="99"/>
      <c r="F297" s="99"/>
      <c r="G297" s="99"/>
      <c r="H297" s="99"/>
      <c r="I297" s="99"/>
      <c r="J297" s="490"/>
    </row>
    <row r="298" spans="1:10">
      <c r="A298" s="394"/>
      <c r="B298" s="99"/>
      <c r="C298" s="99" t="s">
        <v>969</v>
      </c>
      <c r="D298" s="99"/>
      <c r="E298" s="99"/>
      <c r="F298" s="99"/>
      <c r="G298" s="99"/>
      <c r="H298" s="99"/>
      <c r="I298" s="99"/>
      <c r="J298" s="490"/>
    </row>
    <row r="299" spans="1:10">
      <c r="A299" s="394"/>
      <c r="B299" s="99"/>
      <c r="C299" s="99" t="s">
        <v>964</v>
      </c>
      <c r="D299" s="99"/>
      <c r="E299" s="99"/>
      <c r="F299" s="99"/>
      <c r="G299" s="99"/>
      <c r="H299" s="99"/>
      <c r="I299" s="99"/>
      <c r="J299" s="490"/>
    </row>
    <row r="300" spans="1:10">
      <c r="A300" s="394"/>
      <c r="B300" s="99"/>
      <c r="C300" s="99" t="s">
        <v>973</v>
      </c>
      <c r="D300" s="99"/>
      <c r="E300" s="99"/>
      <c r="F300" s="99"/>
      <c r="G300" s="99"/>
      <c r="H300" s="99"/>
      <c r="I300" s="99"/>
      <c r="J300" s="490"/>
    </row>
    <row r="301" spans="1:10">
      <c r="A301" s="394"/>
      <c r="B301" s="99"/>
      <c r="C301" s="99" t="s">
        <v>968</v>
      </c>
      <c r="D301" s="99"/>
      <c r="E301" s="99"/>
      <c r="F301" s="99"/>
      <c r="G301" s="99"/>
      <c r="H301" s="99"/>
      <c r="I301" s="99"/>
      <c r="J301" s="490"/>
    </row>
    <row r="302" spans="1:10">
      <c r="A302" s="394"/>
      <c r="B302" s="99"/>
      <c r="C302" s="99" t="s">
        <v>1049</v>
      </c>
      <c r="D302" s="99"/>
      <c r="E302" s="99"/>
      <c r="F302" s="99"/>
      <c r="G302" s="99"/>
      <c r="H302" s="928" t="s">
        <v>967</v>
      </c>
      <c r="I302" s="99"/>
      <c r="J302" s="490"/>
    </row>
    <row r="303" spans="1:10" ht="13.8" customHeight="1">
      <c r="A303" s="496"/>
      <c r="B303" s="502"/>
      <c r="C303" s="502"/>
      <c r="D303" s="502"/>
      <c r="E303" s="502"/>
      <c r="F303" s="502"/>
      <c r="G303" s="502"/>
      <c r="H303" s="502"/>
      <c r="I303" s="99"/>
      <c r="J303" s="499"/>
    </row>
    <row r="304" spans="1:10" ht="15.6">
      <c r="A304" s="500"/>
      <c r="B304" s="391"/>
      <c r="C304" s="391"/>
      <c r="D304" s="391"/>
      <c r="E304" s="391"/>
      <c r="F304" s="391"/>
      <c r="G304" s="391"/>
      <c r="H304" s="391"/>
      <c r="I304" s="2337" t="s">
        <v>510</v>
      </c>
      <c r="J304" s="487"/>
    </row>
    <row r="305" spans="1:12" ht="15.6">
      <c r="A305" s="394"/>
      <c r="B305" s="668" t="s">
        <v>157</v>
      </c>
      <c r="C305" s="583" t="s">
        <v>984</v>
      </c>
      <c r="D305" s="99"/>
      <c r="E305" s="99"/>
      <c r="F305" s="99"/>
      <c r="G305" s="99"/>
      <c r="H305" s="99"/>
      <c r="I305" s="99"/>
      <c r="J305" s="490"/>
    </row>
    <row r="306" spans="1:12">
      <c r="A306" s="394"/>
      <c r="B306" s="99"/>
      <c r="C306" s="99"/>
      <c r="D306" s="1092" t="s">
        <v>1711</v>
      </c>
      <c r="E306" s="99"/>
      <c r="F306" s="99"/>
      <c r="G306" s="99"/>
      <c r="H306" s="99"/>
      <c r="I306" s="99"/>
      <c r="J306" s="490"/>
    </row>
    <row r="307" spans="1:12">
      <c r="A307" s="394"/>
      <c r="B307" s="99" t="s">
        <v>2329</v>
      </c>
      <c r="C307" s="99"/>
      <c r="D307" s="99"/>
      <c r="E307" s="99"/>
      <c r="F307" s="99"/>
      <c r="G307" s="99"/>
      <c r="H307" s="99"/>
      <c r="I307" s="99"/>
      <c r="J307" s="490"/>
    </row>
    <row r="308" spans="1:12">
      <c r="A308" s="394"/>
      <c r="B308" s="99" t="s">
        <v>2339</v>
      </c>
      <c r="C308" s="99"/>
      <c r="D308" s="99"/>
      <c r="E308" s="99"/>
      <c r="F308" s="99"/>
      <c r="G308" s="99"/>
      <c r="H308" s="99"/>
      <c r="I308" s="99"/>
      <c r="J308" s="490"/>
    </row>
    <row r="309" spans="1:12">
      <c r="A309" s="394"/>
      <c r="B309" s="99" t="s">
        <v>2695</v>
      </c>
      <c r="C309" s="99"/>
      <c r="E309" s="99"/>
      <c r="F309" s="99"/>
      <c r="G309" s="99"/>
      <c r="H309" s="99"/>
      <c r="I309" s="99"/>
      <c r="J309" s="490"/>
      <c r="L309"/>
    </row>
    <row r="310" spans="1:12">
      <c r="A310" s="394"/>
      <c r="B310" s="667" t="s">
        <v>979</v>
      </c>
      <c r="C310" s="99" t="s">
        <v>2340</v>
      </c>
      <c r="D310" s="99"/>
      <c r="E310" s="99"/>
      <c r="F310" s="99"/>
      <c r="G310" s="99"/>
      <c r="H310" s="99"/>
      <c r="I310" s="99"/>
      <c r="J310" s="490"/>
    </row>
    <row r="311" spans="1:12">
      <c r="A311" s="394"/>
      <c r="B311" s="667" t="s">
        <v>980</v>
      </c>
      <c r="C311" s="99" t="s">
        <v>2501</v>
      </c>
      <c r="D311" s="99"/>
      <c r="E311" s="99"/>
      <c r="F311" s="99"/>
      <c r="G311" s="99"/>
      <c r="H311" s="99"/>
      <c r="I311" s="99"/>
      <c r="J311" s="490"/>
    </row>
    <row r="312" spans="1:12">
      <c r="A312" s="394"/>
      <c r="B312" s="351"/>
      <c r="C312" s="99" t="s">
        <v>2341</v>
      </c>
      <c r="D312" s="99"/>
      <c r="E312" s="99"/>
      <c r="F312" s="99"/>
      <c r="G312" s="99"/>
      <c r="H312" s="99"/>
      <c r="I312" s="99"/>
      <c r="J312" s="490"/>
      <c r="L312"/>
    </row>
    <row r="313" spans="1:12">
      <c r="A313" s="394"/>
      <c r="B313" s="667" t="s">
        <v>1002</v>
      </c>
      <c r="C313" s="99" t="s">
        <v>981</v>
      </c>
      <c r="D313" s="99"/>
      <c r="E313" s="99"/>
      <c r="F313" s="99"/>
      <c r="G313" s="99"/>
      <c r="H313" s="99"/>
      <c r="I313" s="99"/>
      <c r="J313" s="490"/>
      <c r="L313"/>
    </row>
    <row r="314" spans="1:12">
      <c r="A314" s="394"/>
      <c r="B314" s="667" t="s">
        <v>982</v>
      </c>
      <c r="C314" s="99" t="s">
        <v>2330</v>
      </c>
      <c r="D314" s="99"/>
      <c r="E314" s="99"/>
      <c r="F314" s="99"/>
      <c r="G314" s="99"/>
      <c r="H314" s="99"/>
      <c r="I314" s="99"/>
      <c r="J314" s="490"/>
      <c r="L314"/>
    </row>
    <row r="315" spans="1:12" ht="18.75" customHeight="1">
      <c r="A315" s="394"/>
      <c r="B315" s="1875" t="s">
        <v>2141</v>
      </c>
      <c r="C315" s="108"/>
      <c r="D315" s="108"/>
      <c r="E315" s="108"/>
      <c r="F315" s="326" t="s">
        <v>983</v>
      </c>
      <c r="G315" s="108"/>
      <c r="H315" s="108"/>
      <c r="I315" s="108"/>
      <c r="J315" s="490"/>
    </row>
    <row r="316" spans="1:12" s="53" customFormat="1" ht="15" customHeight="1">
      <c r="A316" s="329"/>
      <c r="B316" s="108"/>
      <c r="C316" s="99"/>
      <c r="D316" s="972"/>
      <c r="E316" s="973"/>
      <c r="F316" s="99"/>
      <c r="G316" s="972"/>
      <c r="H316" s="973"/>
      <c r="I316" s="99"/>
      <c r="J316" s="493"/>
      <c r="K316" s="70"/>
      <c r="L316" s="70"/>
    </row>
    <row r="317" spans="1:12">
      <c r="A317" s="394"/>
      <c r="B317" s="99"/>
      <c r="C317" s="99"/>
      <c r="D317" s="974"/>
      <c r="E317" s="976"/>
      <c r="F317" s="99"/>
      <c r="G317" s="974"/>
      <c r="H317" s="976"/>
      <c r="I317" s="99"/>
      <c r="J317" s="490"/>
    </row>
    <row r="318" spans="1:12" ht="16.2">
      <c r="A318" s="394"/>
      <c r="B318" s="506" t="s">
        <v>1009</v>
      </c>
      <c r="C318" s="99" t="s">
        <v>1010</v>
      </c>
      <c r="D318" s="99"/>
      <c r="E318" s="99"/>
      <c r="F318" s="111" t="s">
        <v>1008</v>
      </c>
      <c r="G318" s="99" t="s">
        <v>1011</v>
      </c>
      <c r="H318" s="99"/>
      <c r="I318" s="99"/>
      <c r="J318" s="490"/>
      <c r="L318"/>
    </row>
    <row r="319" spans="1:12">
      <c r="A319" s="394"/>
      <c r="B319" s="99"/>
      <c r="C319" s="99"/>
      <c r="D319" s="99"/>
      <c r="E319" s="99"/>
      <c r="F319" s="99"/>
      <c r="G319" s="99"/>
      <c r="H319" s="99"/>
      <c r="I319" s="99"/>
      <c r="J319" s="490"/>
    </row>
    <row r="320" spans="1:12">
      <c r="A320" s="394"/>
      <c r="B320" s="99"/>
      <c r="C320" s="99"/>
      <c r="D320" s="99"/>
      <c r="E320" s="99"/>
      <c r="F320" s="99"/>
      <c r="G320" s="314"/>
      <c r="H320" s="304"/>
      <c r="I320" s="99"/>
      <c r="J320" s="490"/>
    </row>
    <row r="321" spans="1:16">
      <c r="A321" s="394"/>
      <c r="B321" s="99"/>
      <c r="C321" s="99"/>
      <c r="D321" s="99"/>
      <c r="E321" s="99"/>
      <c r="F321" s="111" t="s">
        <v>1726</v>
      </c>
      <c r="G321" s="316"/>
      <c r="H321" s="302"/>
      <c r="I321" s="99"/>
      <c r="J321" s="490"/>
      <c r="L321"/>
    </row>
    <row r="322" spans="1:16">
      <c r="A322" s="394"/>
      <c r="B322" s="508"/>
      <c r="C322" s="99"/>
      <c r="D322" s="99"/>
      <c r="E322" s="99"/>
      <c r="F322" s="99"/>
      <c r="G322" s="99"/>
      <c r="H322" s="99"/>
      <c r="I322" s="99"/>
      <c r="J322" s="490"/>
    </row>
    <row r="323" spans="1:16">
      <c r="A323" s="394"/>
      <c r="B323" s="99"/>
      <c r="C323" s="99" t="s">
        <v>1728</v>
      </c>
      <c r="D323" s="99"/>
      <c r="E323" s="99"/>
      <c r="F323" s="99"/>
      <c r="G323" s="99"/>
      <c r="H323" s="99"/>
      <c r="I323" s="99"/>
      <c r="J323" s="490"/>
      <c r="L323"/>
    </row>
    <row r="324" spans="1:16">
      <c r="A324" s="394"/>
      <c r="B324" s="99"/>
      <c r="C324" s="99"/>
      <c r="D324" s="99"/>
      <c r="E324" s="99"/>
      <c r="F324" s="99"/>
      <c r="G324" s="99"/>
      <c r="H324" s="99"/>
      <c r="I324" s="99"/>
      <c r="J324" s="490"/>
    </row>
    <row r="325" spans="1:16" ht="15.6">
      <c r="A325" s="394"/>
      <c r="B325" s="508"/>
      <c r="C325" s="488" t="s">
        <v>994</v>
      </c>
      <c r="D325" s="99"/>
      <c r="E325" s="99"/>
      <c r="F325" s="99"/>
      <c r="G325" s="99"/>
      <c r="H325" s="99"/>
      <c r="I325" s="99"/>
      <c r="J325" s="490"/>
    </row>
    <row r="326" spans="1:16">
      <c r="A326" s="394"/>
      <c r="B326" s="99"/>
      <c r="C326" s="108" t="s">
        <v>995</v>
      </c>
      <c r="D326" s="99"/>
      <c r="E326" s="99"/>
      <c r="F326" s="99"/>
      <c r="G326" s="99"/>
      <c r="H326" s="99"/>
      <c r="I326" s="99"/>
      <c r="J326" s="490"/>
    </row>
    <row r="327" spans="1:16">
      <c r="A327" s="394"/>
      <c r="B327" s="622"/>
      <c r="C327" s="108" t="s">
        <v>996</v>
      </c>
      <c r="D327" s="508"/>
      <c r="E327" s="508"/>
      <c r="F327" s="508"/>
      <c r="G327" s="508"/>
      <c r="H327" s="508"/>
      <c r="I327" s="508"/>
      <c r="J327" s="490"/>
    </row>
    <row r="328" spans="1:16" s="53" customFormat="1" ht="15" customHeight="1">
      <c r="A328" s="329"/>
      <c r="B328" s="99"/>
      <c r="C328" s="108" t="s">
        <v>1004</v>
      </c>
      <c r="D328" s="99"/>
      <c r="E328" s="99"/>
      <c r="F328" s="99"/>
      <c r="G328" s="99"/>
      <c r="H328" s="99"/>
      <c r="I328" s="99"/>
      <c r="J328" s="493"/>
      <c r="K328" s="70"/>
      <c r="L328"/>
      <c r="P328" s="509"/>
    </row>
    <row r="329" spans="1:16" ht="15" customHeight="1">
      <c r="A329" s="394"/>
      <c r="B329" s="344" t="s">
        <v>1471</v>
      </c>
      <c r="C329" s="108" t="s">
        <v>2696</v>
      </c>
      <c r="D329" s="622"/>
      <c r="E329" s="622"/>
      <c r="F329" s="622"/>
      <c r="G329" s="622"/>
      <c r="H329" s="622"/>
      <c r="I329" s="622"/>
      <c r="J329" s="490"/>
      <c r="L329"/>
    </row>
    <row r="330" spans="1:16">
      <c r="A330" s="394"/>
      <c r="B330" s="344" t="s">
        <v>1470</v>
      </c>
      <c r="C330" s="108" t="s">
        <v>1000</v>
      </c>
      <c r="D330" s="99"/>
      <c r="E330" s="99"/>
      <c r="F330" s="99"/>
      <c r="G330" s="99"/>
      <c r="H330" s="99"/>
      <c r="I330" s="99"/>
      <c r="J330" s="490"/>
    </row>
    <row r="331" spans="1:16" s="53" customFormat="1" ht="16.5" customHeight="1">
      <c r="A331" s="329"/>
      <c r="B331" s="99"/>
      <c r="C331" s="108" t="s">
        <v>1006</v>
      </c>
      <c r="D331" s="99"/>
      <c r="E331" s="99"/>
      <c r="F331" s="99"/>
      <c r="G331" s="99"/>
      <c r="H331" s="99"/>
      <c r="I331" s="99"/>
      <c r="J331" s="493"/>
      <c r="K331" s="70"/>
      <c r="L331" s="70"/>
      <c r="M331"/>
    </row>
    <row r="332" spans="1:16">
      <c r="A332" s="394"/>
      <c r="B332" s="508"/>
      <c r="C332" s="108" t="s">
        <v>1007</v>
      </c>
      <c r="D332" s="99"/>
      <c r="E332" s="99"/>
      <c r="F332" s="99"/>
      <c r="G332" s="99"/>
      <c r="H332" s="99"/>
      <c r="I332" s="99"/>
      <c r="J332" s="490"/>
      <c r="L332"/>
    </row>
    <row r="333" spans="1:16" s="941" customFormat="1" ht="15" customHeight="1">
      <c r="A333" s="501"/>
      <c r="B333" s="99"/>
      <c r="C333" s="396" t="s">
        <v>35</v>
      </c>
      <c r="D333" s="99"/>
      <c r="E333" s="99"/>
      <c r="F333" s="99"/>
      <c r="G333" s="99"/>
      <c r="H333" s="99"/>
      <c r="I333" s="99"/>
      <c r="J333" s="504"/>
      <c r="K333" s="22"/>
      <c r="L333" s="22"/>
    </row>
    <row r="334" spans="1:16">
      <c r="A334" s="394"/>
      <c r="B334" s="622"/>
      <c r="C334" s="931" t="s">
        <v>1001</v>
      </c>
      <c r="D334" s="99"/>
      <c r="E334" s="99"/>
      <c r="F334" s="99"/>
      <c r="G334" s="99"/>
      <c r="H334" s="99"/>
      <c r="I334" s="99"/>
      <c r="J334" s="490"/>
    </row>
    <row r="335" spans="1:16" ht="15" customHeight="1">
      <c r="A335" s="394"/>
      <c r="B335" s="99"/>
      <c r="C335" s="931" t="s">
        <v>1727</v>
      </c>
      <c r="D335" s="99"/>
      <c r="E335" s="99"/>
      <c r="F335" s="99"/>
      <c r="G335" s="99"/>
      <c r="H335" s="99"/>
      <c r="I335" s="99"/>
      <c r="J335" s="490"/>
    </row>
    <row r="336" spans="1:16">
      <c r="A336" s="394"/>
      <c r="B336" s="99"/>
      <c r="C336" s="489"/>
      <c r="D336" s="661"/>
      <c r="E336" s="335" t="s">
        <v>3</v>
      </c>
      <c r="F336" s="854"/>
      <c r="G336" s="108"/>
      <c r="H336" s="335" t="s">
        <v>4</v>
      </c>
      <c r="I336" s="108"/>
      <c r="J336" s="490"/>
    </row>
    <row r="337" spans="1:13">
      <c r="A337" s="394"/>
      <c r="B337" s="99"/>
      <c r="C337" s="506"/>
      <c r="D337" s="661" t="s">
        <v>385</v>
      </c>
      <c r="E337" s="1048">
        <v>22</v>
      </c>
      <c r="F337" s="854" t="s">
        <v>999</v>
      </c>
      <c r="G337" s="506" t="s">
        <v>104</v>
      </c>
      <c r="H337" s="1354">
        <f>POWER(10,(0.2*(E337-E338+5)))</f>
        <v>3467368.5045253276</v>
      </c>
      <c r="I337" s="108" t="s">
        <v>998</v>
      </c>
      <c r="J337" s="490"/>
    </row>
    <row r="338" spans="1:13">
      <c r="A338" s="394"/>
      <c r="B338" s="344" t="s">
        <v>1797</v>
      </c>
      <c r="C338" s="506"/>
      <c r="D338" s="661" t="s">
        <v>674</v>
      </c>
      <c r="E338" s="1048">
        <v>-5.7</v>
      </c>
      <c r="F338" s="854" t="s">
        <v>999</v>
      </c>
      <c r="G338" s="506" t="s">
        <v>104</v>
      </c>
      <c r="H338" s="1483">
        <f>H337*F244</f>
        <v>11309038.216887636</v>
      </c>
      <c r="I338" s="108" t="s">
        <v>98</v>
      </c>
      <c r="J338" s="490"/>
    </row>
    <row r="339" spans="1:13">
      <c r="A339" s="394"/>
      <c r="B339" s="187" t="s">
        <v>1005</v>
      </c>
      <c r="C339" s="123" t="s">
        <v>271</v>
      </c>
      <c r="D339" s="99"/>
      <c r="E339" s="99"/>
      <c r="F339" s="99"/>
      <c r="G339" s="99"/>
      <c r="H339" s="99"/>
      <c r="I339" s="99"/>
      <c r="J339" s="490"/>
      <c r="L339"/>
      <c r="M339" s="959"/>
    </row>
    <row r="340" spans="1:13" ht="16.2">
      <c r="A340" s="394"/>
      <c r="B340" s="1343" t="s">
        <v>1798</v>
      </c>
      <c r="C340" s="1040" t="s">
        <v>1003</v>
      </c>
      <c r="D340" s="99"/>
      <c r="E340" s="99"/>
      <c r="F340" s="99"/>
      <c r="G340" s="99"/>
      <c r="H340" s="99"/>
      <c r="I340" s="99"/>
      <c r="J340" s="490"/>
    </row>
    <row r="341" spans="1:13" ht="12.75" customHeight="1">
      <c r="A341" s="496"/>
      <c r="B341" s="502"/>
      <c r="C341" s="502"/>
      <c r="D341" s="502"/>
      <c r="E341" s="829"/>
      <c r="F341" s="502"/>
      <c r="G341" s="502"/>
      <c r="H341" s="502"/>
      <c r="I341" s="99"/>
      <c r="J341" s="499"/>
    </row>
    <row r="342" spans="1:13" ht="15.6">
      <c r="A342" s="500"/>
      <c r="B342" s="391"/>
      <c r="C342" s="391"/>
      <c r="D342" s="391"/>
      <c r="E342" s="391"/>
      <c r="F342" s="391"/>
      <c r="G342" s="391"/>
      <c r="H342" s="391"/>
      <c r="I342" s="2337" t="s">
        <v>511</v>
      </c>
      <c r="J342" s="487"/>
      <c r="L342"/>
    </row>
    <row r="343" spans="1:13" ht="15.6">
      <c r="A343" s="394"/>
      <c r="B343" s="99"/>
      <c r="C343" s="99"/>
      <c r="D343" s="708" t="s">
        <v>1030</v>
      </c>
      <c r="E343" s="99"/>
      <c r="F343" s="99"/>
      <c r="G343" s="99"/>
      <c r="H343" s="99"/>
      <c r="I343" s="99"/>
      <c r="J343" s="490"/>
    </row>
    <row r="344" spans="1:13">
      <c r="A344" s="394"/>
      <c r="B344" s="122"/>
      <c r="C344" s="99"/>
      <c r="D344" s="349" t="s">
        <v>1503</v>
      </c>
      <c r="E344" s="99"/>
      <c r="F344" s="99"/>
      <c r="G344" s="99"/>
      <c r="H344" s="99"/>
      <c r="I344" s="99"/>
      <c r="J344" s="490"/>
      <c r="L344"/>
    </row>
    <row r="345" spans="1:13">
      <c r="A345" s="394"/>
      <c r="B345" s="99"/>
      <c r="C345" s="99"/>
      <c r="D345" s="827" t="s">
        <v>1613</v>
      </c>
      <c r="E345" s="99"/>
      <c r="F345" s="99"/>
      <c r="G345" s="99"/>
      <c r="H345" s="99"/>
      <c r="I345" s="99"/>
      <c r="J345" s="490"/>
    </row>
    <row r="346" spans="1:13" ht="15" customHeight="1">
      <c r="A346" s="394"/>
      <c r="B346" s="99"/>
      <c r="C346" s="108" t="s">
        <v>1472</v>
      </c>
      <c r="D346" s="99"/>
      <c r="E346" s="99"/>
      <c r="F346" s="99"/>
      <c r="G346" s="99"/>
      <c r="H346" s="99"/>
      <c r="I346" s="99"/>
      <c r="J346" s="490"/>
    </row>
    <row r="347" spans="1:13" ht="15" customHeight="1">
      <c r="A347" s="394"/>
      <c r="B347" s="99"/>
      <c r="C347" s="108" t="s">
        <v>1473</v>
      </c>
      <c r="D347" s="99"/>
      <c r="E347" s="99"/>
      <c r="F347" s="99"/>
      <c r="G347" s="99"/>
      <c r="H347" s="99"/>
      <c r="I347" s="99"/>
      <c r="J347" s="490"/>
    </row>
    <row r="348" spans="1:13" ht="15" customHeight="1">
      <c r="A348" s="394"/>
      <c r="B348" s="99"/>
      <c r="C348" s="108" t="s">
        <v>1474</v>
      </c>
      <c r="D348" s="99"/>
      <c r="E348" s="99"/>
      <c r="F348" s="99"/>
      <c r="G348" s="99"/>
      <c r="H348" s="99"/>
      <c r="I348" s="99"/>
      <c r="J348" s="490"/>
    </row>
    <row r="349" spans="1:13">
      <c r="A349" s="394"/>
      <c r="B349" s="99"/>
      <c r="C349" s="108" t="s">
        <v>1475</v>
      </c>
      <c r="D349" s="99"/>
      <c r="E349" s="99"/>
      <c r="F349" s="99"/>
      <c r="G349" s="99"/>
      <c r="H349" s="99"/>
      <c r="I349" s="99"/>
      <c r="J349" s="490"/>
      <c r="L349"/>
    </row>
    <row r="350" spans="1:13">
      <c r="A350" s="394"/>
      <c r="B350" s="99"/>
      <c r="C350" s="108" t="s">
        <v>1476</v>
      </c>
      <c r="D350" s="99"/>
      <c r="E350" s="99"/>
      <c r="F350" s="99"/>
      <c r="G350" s="99"/>
      <c r="H350" s="99"/>
      <c r="I350" s="99"/>
      <c r="J350" s="490"/>
    </row>
    <row r="351" spans="1:13">
      <c r="A351" s="394"/>
      <c r="B351" s="99"/>
      <c r="C351" s="108" t="s">
        <v>1477</v>
      </c>
      <c r="D351" s="99"/>
      <c r="E351" s="99"/>
      <c r="F351" s="99"/>
      <c r="G351" s="99"/>
      <c r="H351" s="99"/>
      <c r="I351" s="99"/>
      <c r="J351" s="490"/>
    </row>
    <row r="352" spans="1:13">
      <c r="A352" s="394"/>
      <c r="B352" s="99"/>
      <c r="C352" s="108" t="s">
        <v>1487</v>
      </c>
      <c r="D352" s="99"/>
      <c r="E352" s="99"/>
      <c r="F352" s="99"/>
      <c r="G352" s="99"/>
      <c r="H352" s="99"/>
      <c r="I352" s="99"/>
      <c r="J352" s="490"/>
    </row>
    <row r="353" spans="1:13">
      <c r="A353" s="394"/>
      <c r="B353" s="99"/>
      <c r="C353" s="108" t="s">
        <v>1479</v>
      </c>
      <c r="D353" s="99"/>
      <c r="E353" s="99"/>
      <c r="F353" s="99"/>
      <c r="G353" s="99"/>
      <c r="H353" s="99"/>
      <c r="I353" s="99"/>
      <c r="J353" s="490"/>
    </row>
    <row r="354" spans="1:13">
      <c r="A354" s="394"/>
      <c r="B354" s="99"/>
      <c r="C354" s="108" t="s">
        <v>1478</v>
      </c>
      <c r="D354" s="99"/>
      <c r="E354" s="99"/>
      <c r="F354" s="99"/>
      <c r="G354" s="99"/>
      <c r="H354" s="99"/>
      <c r="I354" s="99"/>
      <c r="J354" s="490"/>
    </row>
    <row r="355" spans="1:13">
      <c r="A355" s="394"/>
      <c r="C355" s="108" t="s">
        <v>1480</v>
      </c>
      <c r="D355" s="99"/>
      <c r="E355" s="99"/>
      <c r="F355" s="99"/>
      <c r="G355" s="99"/>
      <c r="H355" s="99"/>
      <c r="I355" s="99"/>
      <c r="J355" s="490"/>
    </row>
    <row r="356" spans="1:13">
      <c r="A356" s="394"/>
      <c r="B356" s="99"/>
      <c r="C356" s="108" t="s">
        <v>1483</v>
      </c>
      <c r="D356" s="99"/>
      <c r="E356" s="99"/>
      <c r="F356" s="99"/>
      <c r="G356" s="99"/>
      <c r="H356" s="99"/>
      <c r="I356" s="99"/>
      <c r="J356" s="490"/>
      <c r="L356"/>
    </row>
    <row r="357" spans="1:13">
      <c r="A357" s="394"/>
      <c r="B357" s="1874" t="s">
        <v>1031</v>
      </c>
      <c r="C357" s="108" t="s">
        <v>1481</v>
      </c>
      <c r="D357" s="99"/>
      <c r="E357" s="99"/>
      <c r="F357" s="99"/>
      <c r="G357" s="99"/>
      <c r="H357" s="99"/>
      <c r="I357" s="99"/>
      <c r="J357" s="490"/>
    </row>
    <row r="358" spans="1:13">
      <c r="A358" s="394"/>
      <c r="B358" s="99"/>
      <c r="C358" s="491" t="s">
        <v>1482</v>
      </c>
      <c r="D358" s="99"/>
      <c r="E358" s="99"/>
      <c r="F358" s="99"/>
      <c r="G358" s="99"/>
      <c r="H358" s="99"/>
      <c r="I358" s="99"/>
      <c r="J358" s="490"/>
    </row>
    <row r="359" spans="1:13" ht="12.6" customHeight="1">
      <c r="A359" s="394"/>
      <c r="B359" s="99"/>
      <c r="C359" s="99"/>
      <c r="D359" s="99"/>
      <c r="E359" s="99"/>
      <c r="F359" s="99"/>
      <c r="G359" s="99"/>
      <c r="H359" s="99"/>
      <c r="I359" s="99"/>
      <c r="J359" s="490"/>
    </row>
    <row r="360" spans="1:13" s="592" customFormat="1" ht="14.4" customHeight="1">
      <c r="A360" s="505"/>
      <c r="B360" s="2281"/>
      <c r="C360" s="507"/>
      <c r="D360" s="109" t="s">
        <v>1486</v>
      </c>
      <c r="E360" s="507"/>
      <c r="F360" s="507"/>
      <c r="G360" s="507"/>
      <c r="H360" s="507"/>
      <c r="I360" s="507"/>
      <c r="J360" s="787"/>
      <c r="K360" s="78"/>
      <c r="L360" s="78"/>
    </row>
    <row r="361" spans="1:13" ht="12.6" customHeight="1">
      <c r="A361" s="394"/>
      <c r="B361" s="99"/>
      <c r="C361" s="99"/>
      <c r="D361" s="99"/>
      <c r="E361" s="99"/>
      <c r="F361" s="99"/>
      <c r="G361" s="99"/>
      <c r="H361" s="99"/>
      <c r="I361" s="99"/>
      <c r="J361" s="490"/>
    </row>
    <row r="362" spans="1:13">
      <c r="A362" s="394"/>
      <c r="B362" s="99" t="s">
        <v>1484</v>
      </c>
      <c r="C362" s="99"/>
      <c r="D362" s="99"/>
      <c r="E362" s="99"/>
      <c r="F362" s="99"/>
      <c r="G362" s="99"/>
      <c r="H362" s="99"/>
      <c r="I362" s="99"/>
      <c r="J362" s="490"/>
    </row>
    <row r="363" spans="1:13">
      <c r="A363" s="394"/>
      <c r="B363" s="99" t="s">
        <v>1489</v>
      </c>
      <c r="C363" s="99"/>
      <c r="D363" s="99"/>
      <c r="E363" s="99"/>
      <c r="F363" s="99"/>
      <c r="G363" s="99"/>
      <c r="H363" s="99"/>
      <c r="I363" s="99"/>
      <c r="J363" s="490"/>
      <c r="M363" s="4"/>
    </row>
    <row r="364" spans="1:13">
      <c r="A364" s="394"/>
      <c r="B364" s="99" t="s">
        <v>1490</v>
      </c>
      <c r="C364" s="99"/>
      <c r="D364" s="99"/>
      <c r="E364" s="99"/>
      <c r="F364" s="99"/>
      <c r="G364" s="99"/>
      <c r="H364" s="99"/>
      <c r="I364" s="99"/>
      <c r="J364" s="490"/>
      <c r="L364"/>
    </row>
    <row r="365" spans="1:13">
      <c r="A365" s="394"/>
      <c r="B365" s="99" t="s">
        <v>1491</v>
      </c>
      <c r="C365" s="99"/>
      <c r="D365" s="99"/>
      <c r="E365" s="99"/>
      <c r="F365" s="99"/>
      <c r="G365" s="99"/>
      <c r="H365" s="99"/>
      <c r="I365" s="99"/>
      <c r="J365" s="490"/>
    </row>
    <row r="366" spans="1:13">
      <c r="A366" s="394"/>
      <c r="B366" s="99" t="s">
        <v>1485</v>
      </c>
      <c r="C366" s="99"/>
      <c r="D366" s="99"/>
      <c r="E366" s="99"/>
      <c r="F366" s="99"/>
      <c r="G366" s="99"/>
      <c r="H366" s="99"/>
      <c r="I366" s="99"/>
      <c r="J366" s="490"/>
    </row>
    <row r="367" spans="1:13" ht="12.6" customHeight="1">
      <c r="A367" s="394"/>
      <c r="B367" s="99"/>
      <c r="C367" s="99"/>
      <c r="D367" s="99"/>
      <c r="E367" s="99"/>
      <c r="F367" s="99"/>
      <c r="G367" s="99"/>
      <c r="H367" s="99"/>
      <c r="I367" s="99"/>
      <c r="J367" s="490"/>
    </row>
    <row r="368" spans="1:13">
      <c r="A368" s="394"/>
      <c r="B368" s="99" t="s">
        <v>1492</v>
      </c>
      <c r="C368" s="99"/>
      <c r="D368" s="99"/>
      <c r="E368" s="99"/>
      <c r="F368" s="99"/>
      <c r="G368" s="99"/>
      <c r="H368" s="99"/>
      <c r="I368" s="99"/>
      <c r="J368" s="490"/>
      <c r="L368"/>
    </row>
    <row r="369" spans="1:12">
      <c r="A369" s="394"/>
      <c r="B369" s="99" t="s">
        <v>1488</v>
      </c>
      <c r="C369" s="99"/>
      <c r="D369" s="99"/>
      <c r="E369" s="99"/>
      <c r="F369" s="99"/>
      <c r="G369" s="99"/>
      <c r="H369" s="99"/>
      <c r="I369" s="99"/>
      <c r="J369" s="490"/>
    </row>
    <row r="370" spans="1:12">
      <c r="A370" s="394"/>
      <c r="B370" s="99" t="s">
        <v>1500</v>
      </c>
      <c r="C370" s="99"/>
      <c r="D370" s="99"/>
      <c r="E370" s="99"/>
      <c r="F370" s="99"/>
      <c r="G370" s="99"/>
      <c r="H370" s="99"/>
      <c r="I370" s="99"/>
      <c r="J370" s="490"/>
    </row>
    <row r="371" spans="1:12">
      <c r="A371" s="394"/>
      <c r="B371" s="99" t="s">
        <v>1499</v>
      </c>
      <c r="C371" s="99"/>
      <c r="D371" s="99"/>
      <c r="E371" s="99"/>
      <c r="F371" s="99"/>
      <c r="G371" s="99"/>
      <c r="H371" s="99"/>
      <c r="I371" s="99"/>
      <c r="J371" s="490"/>
    </row>
    <row r="372" spans="1:12">
      <c r="A372" s="394"/>
      <c r="B372" s="99" t="s">
        <v>1640</v>
      </c>
      <c r="C372" s="99"/>
      <c r="D372" s="99"/>
      <c r="E372" s="99"/>
      <c r="F372" s="1307" t="s">
        <v>2619</v>
      </c>
      <c r="G372" s="2282"/>
      <c r="H372" s="1308"/>
      <c r="I372" s="99"/>
      <c r="J372" s="490"/>
    </row>
    <row r="373" spans="1:12" ht="12.6" customHeight="1">
      <c r="A373" s="394"/>
      <c r="B373" s="99"/>
      <c r="C373" s="99"/>
      <c r="D373" s="99"/>
      <c r="E373" s="99"/>
      <c r="F373" s="99"/>
      <c r="H373" s="99"/>
      <c r="I373" s="99"/>
      <c r="J373" s="490"/>
    </row>
    <row r="374" spans="1:12">
      <c r="A374" s="394"/>
      <c r="B374" s="99" t="s">
        <v>1493</v>
      </c>
      <c r="C374" s="99"/>
      <c r="D374" s="99"/>
      <c r="E374" s="99"/>
      <c r="F374" s="99"/>
      <c r="G374" s="99"/>
      <c r="H374" s="99"/>
      <c r="I374" s="99"/>
      <c r="J374" s="490"/>
    </row>
    <row r="375" spans="1:12">
      <c r="A375" s="394"/>
      <c r="B375" s="99" t="s">
        <v>1494</v>
      </c>
      <c r="C375" s="99"/>
      <c r="D375" s="99"/>
      <c r="E375" s="99"/>
      <c r="F375" s="99"/>
      <c r="G375" s="99"/>
      <c r="H375" s="99"/>
      <c r="I375" s="99"/>
      <c r="J375" s="490"/>
    </row>
    <row r="376" spans="1:12">
      <c r="A376" s="394"/>
      <c r="B376" s="99" t="s">
        <v>1495</v>
      </c>
      <c r="C376" s="99"/>
      <c r="D376" s="99"/>
      <c r="E376" s="99"/>
      <c r="F376" s="99"/>
      <c r="G376" s="99"/>
      <c r="H376" s="99"/>
      <c r="I376" s="99"/>
      <c r="J376" s="490"/>
    </row>
    <row r="377" spans="1:12">
      <c r="A377" s="394"/>
      <c r="B377" s="99" t="s">
        <v>1496</v>
      </c>
      <c r="C377" s="99"/>
      <c r="D377" s="99"/>
      <c r="E377" s="99"/>
      <c r="F377" s="99"/>
      <c r="G377" s="99"/>
      <c r="H377" s="99"/>
      <c r="I377" s="99"/>
      <c r="J377" s="490"/>
    </row>
    <row r="378" spans="1:12">
      <c r="A378" s="394"/>
      <c r="B378" s="99" t="s">
        <v>1497</v>
      </c>
      <c r="C378" s="99"/>
      <c r="D378" s="99"/>
      <c r="E378" s="99"/>
      <c r="F378" s="99"/>
      <c r="G378" s="99"/>
      <c r="H378" s="1022"/>
      <c r="I378" s="1022"/>
      <c r="J378" s="490"/>
    </row>
    <row r="379" spans="1:12">
      <c r="A379" s="394"/>
      <c r="B379" s="99" t="s">
        <v>1498</v>
      </c>
      <c r="C379" s="99"/>
      <c r="D379" s="99"/>
      <c r="E379" s="99"/>
      <c r="F379" s="99"/>
      <c r="G379" s="99"/>
      <c r="H379" s="1022"/>
      <c r="I379" s="99"/>
      <c r="J379" s="490"/>
    </row>
    <row r="380" spans="1:12" ht="15.6" customHeight="1">
      <c r="A380" s="1196"/>
      <c r="B380" s="2285"/>
      <c r="C380" s="2285"/>
      <c r="D380" s="2286" t="s">
        <v>2620</v>
      </c>
      <c r="E380" s="2287"/>
      <c r="F380" s="2285"/>
      <c r="G380" s="2285"/>
      <c r="H380" s="2283" t="s">
        <v>2142</v>
      </c>
      <c r="I380" s="99"/>
      <c r="J380" s="499"/>
    </row>
    <row r="381" spans="1:12" ht="15.6">
      <c r="A381" s="500"/>
      <c r="B381" s="872"/>
      <c r="C381" s="381"/>
      <c r="D381" s="391"/>
      <c r="E381" s="1314" t="s">
        <v>1733</v>
      </c>
      <c r="F381" s="391"/>
      <c r="G381" s="391"/>
      <c r="H381" s="391"/>
      <c r="I381" s="2337" t="s">
        <v>512</v>
      </c>
      <c r="J381" s="487"/>
      <c r="L381" s="1110"/>
    </row>
    <row r="382" spans="1:12" ht="15.6">
      <c r="A382" s="394"/>
      <c r="B382" s="122" t="s">
        <v>2740</v>
      </c>
      <c r="C382" s="1303" t="s">
        <v>1717</v>
      </c>
      <c r="D382" s="1306" t="s">
        <v>1718</v>
      </c>
      <c r="E382" s="1303" t="s">
        <v>1719</v>
      </c>
      <c r="F382" s="1303" t="s">
        <v>1721</v>
      </c>
      <c r="G382" s="1301" t="s">
        <v>1720</v>
      </c>
      <c r="H382" s="1315"/>
      <c r="I382" s="99"/>
      <c r="J382" s="490"/>
    </row>
    <row r="383" spans="1:12">
      <c r="A383" s="394"/>
      <c r="B383" s="117" t="s">
        <v>1734</v>
      </c>
      <c r="C383" s="1304">
        <v>0.87</v>
      </c>
      <c r="D383" s="1304">
        <v>4.8939999999999997E-2</v>
      </c>
      <c r="E383" s="1304">
        <v>752</v>
      </c>
      <c r="F383" s="1304">
        <v>1.8000000000000001E-4</v>
      </c>
      <c r="G383" s="908">
        <v>0.2</v>
      </c>
      <c r="H383" s="557"/>
      <c r="I383" s="99"/>
      <c r="J383" s="490"/>
    </row>
    <row r="384" spans="1:12">
      <c r="A384" s="394"/>
      <c r="B384" s="117" t="s">
        <v>2739</v>
      </c>
      <c r="C384" s="1305">
        <v>1.1599999999999999</v>
      </c>
      <c r="D384" s="1305">
        <v>9.6540000000000001E-2</v>
      </c>
      <c r="E384" s="1305">
        <v>644</v>
      </c>
      <c r="F384" s="1305">
        <v>1.1E-5</v>
      </c>
      <c r="G384" s="1302">
        <v>0.628</v>
      </c>
      <c r="H384" s="557"/>
      <c r="I384" s="99"/>
      <c r="J384" s="490"/>
      <c r="L384"/>
    </row>
    <row r="385" spans="1:12" ht="13.8" customHeight="1">
      <c r="A385" s="394"/>
      <c r="B385" s="26"/>
      <c r="C385" s="99"/>
      <c r="E385" s="99"/>
      <c r="F385" s="112"/>
      <c r="G385" s="112"/>
      <c r="H385" s="105" t="s">
        <v>329</v>
      </c>
      <c r="I385" s="99"/>
      <c r="J385" s="490"/>
    </row>
    <row r="386" spans="1:12">
      <c r="A386" s="394"/>
      <c r="B386" s="111" t="s">
        <v>1034</v>
      </c>
      <c r="C386" s="111"/>
      <c r="D386" s="105" t="s">
        <v>3</v>
      </c>
      <c r="E386" s="99"/>
      <c r="F386" s="108"/>
      <c r="G386" s="506" t="s">
        <v>1061</v>
      </c>
      <c r="H386" s="1484">
        <f>F243*0.0000158125</f>
        <v>3.2615622487566576</v>
      </c>
      <c r="I386" s="108" t="s">
        <v>948</v>
      </c>
      <c r="J386" s="490"/>
      <c r="L386" s="16"/>
    </row>
    <row r="387" spans="1:12">
      <c r="A387" s="394"/>
      <c r="B387" s="1880" t="s">
        <v>2143</v>
      </c>
      <c r="C387" s="99"/>
      <c r="D387" s="1309" t="s">
        <v>2741</v>
      </c>
      <c r="E387" s="99"/>
      <c r="F387" s="108"/>
      <c r="G387" s="506" t="s">
        <v>1061</v>
      </c>
      <c r="H387" s="1485">
        <v>30857000000000</v>
      </c>
      <c r="I387" s="108" t="s">
        <v>1018</v>
      </c>
      <c r="J387" s="1109"/>
      <c r="L387"/>
    </row>
    <row r="388" spans="1:12" s="53" customFormat="1" ht="16.5" customHeight="1">
      <c r="A388" s="329"/>
      <c r="B388" s="111" t="s">
        <v>1716</v>
      </c>
      <c r="C388" s="506" t="s">
        <v>55</v>
      </c>
      <c r="D388" s="258">
        <v>1.1599999999999999</v>
      </c>
      <c r="E388" s="108" t="s">
        <v>974</v>
      </c>
      <c r="F388" s="108"/>
      <c r="G388" s="506" t="s">
        <v>1032</v>
      </c>
      <c r="H388" s="1486">
        <v>4.8481399999999996E-6</v>
      </c>
      <c r="I388" s="108" t="s">
        <v>1060</v>
      </c>
      <c r="J388" s="493"/>
      <c r="K388" s="70"/>
    </row>
    <row r="389" spans="1:12" ht="16.2">
      <c r="A389" s="394"/>
      <c r="B389" s="111" t="s">
        <v>949</v>
      </c>
      <c r="C389" s="506" t="s">
        <v>1715</v>
      </c>
      <c r="D389" s="258">
        <v>9.6540000000000001E-2</v>
      </c>
      <c r="E389" s="108" t="s">
        <v>950</v>
      </c>
      <c r="F389" s="660"/>
      <c r="G389" s="224" t="s">
        <v>1142</v>
      </c>
      <c r="H389" s="95">
        <v>5.6704000000000003E-8</v>
      </c>
      <c r="I389" s="468" t="s">
        <v>1040</v>
      </c>
      <c r="J389" s="490"/>
    </row>
    <row r="390" spans="1:12" ht="15" customHeight="1">
      <c r="A390" s="394"/>
      <c r="B390" s="506" t="s">
        <v>1724</v>
      </c>
      <c r="C390" s="506" t="s">
        <v>1137</v>
      </c>
      <c r="D390" s="258">
        <v>644</v>
      </c>
      <c r="E390" s="108" t="s">
        <v>685</v>
      </c>
      <c r="F390" s="108"/>
      <c r="G390" s="506" t="s">
        <v>1143</v>
      </c>
      <c r="H390" s="57">
        <v>2.898E-3</v>
      </c>
      <c r="I390" s="108" t="s">
        <v>1039</v>
      </c>
      <c r="J390" s="490"/>
    </row>
    <row r="391" spans="1:12" ht="16.2">
      <c r="A391" s="394"/>
      <c r="B391" s="111" t="s">
        <v>975</v>
      </c>
      <c r="C391" s="1111" t="s">
        <v>1138</v>
      </c>
      <c r="D391" s="263">
        <v>1.1E-5</v>
      </c>
      <c r="E391" s="108"/>
      <c r="F391" s="108"/>
      <c r="G391" s="111" t="s">
        <v>1501</v>
      </c>
      <c r="H391" s="57">
        <v>3.8450000000000003E+26</v>
      </c>
      <c r="I391" s="108" t="s">
        <v>1038</v>
      </c>
      <c r="J391" s="490"/>
      <c r="L391"/>
    </row>
    <row r="392" spans="1:12" ht="16.2">
      <c r="A392" s="394"/>
      <c r="B392" s="111" t="s">
        <v>976</v>
      </c>
      <c r="C392" s="506" t="s">
        <v>1057</v>
      </c>
      <c r="D392" s="1187">
        <v>0.628</v>
      </c>
      <c r="E392" s="108" t="s">
        <v>1048</v>
      </c>
      <c r="F392" s="108"/>
      <c r="G392" s="111" t="s">
        <v>1144</v>
      </c>
      <c r="H392" s="1013">
        <v>696000000</v>
      </c>
      <c r="I392" s="108" t="s">
        <v>1042</v>
      </c>
      <c r="J392" s="490"/>
      <c r="L392"/>
    </row>
    <row r="393" spans="1:12" ht="16.2">
      <c r="A393" s="394"/>
      <c r="B393" s="99"/>
      <c r="C393" s="99"/>
      <c r="D393" s="99"/>
      <c r="E393" s="99"/>
      <c r="F393" s="108"/>
      <c r="G393" s="506" t="s">
        <v>1502</v>
      </c>
      <c r="H393" s="1479">
        <f>F91</f>
        <v>4.8680956148600067</v>
      </c>
      <c r="I393" s="108" t="s">
        <v>974</v>
      </c>
      <c r="J393" s="490"/>
    </row>
    <row r="394" spans="1:12">
      <c r="A394" s="394"/>
      <c r="B394" s="105" t="s">
        <v>1729</v>
      </c>
      <c r="C394" s="955"/>
      <c r="D394" s="105" t="s">
        <v>4</v>
      </c>
      <c r="E394" s="99"/>
      <c r="F394" s="99"/>
      <c r="G394" s="99"/>
      <c r="H394" s="26"/>
      <c r="I394" s="99"/>
      <c r="J394" s="490"/>
    </row>
    <row r="395" spans="1:12">
      <c r="A395" s="394"/>
      <c r="B395" s="111" t="s">
        <v>1735</v>
      </c>
      <c r="C395" s="111" t="s">
        <v>2733</v>
      </c>
      <c r="D395" s="1365">
        <f>H386/D389</f>
        <v>33.784568559733351</v>
      </c>
      <c r="E395" s="99" t="s">
        <v>948</v>
      </c>
      <c r="F395" s="1040" t="s">
        <v>1052</v>
      </c>
      <c r="G395" s="99"/>
      <c r="H395" s="360"/>
      <c r="I395" s="99"/>
      <c r="J395" s="490"/>
    </row>
    <row r="396" spans="1:12">
      <c r="A396" s="394"/>
      <c r="B396" s="99"/>
      <c r="C396" s="111" t="s">
        <v>2733</v>
      </c>
      <c r="D396" s="1365">
        <f>D395/H386</f>
        <v>10.358400662937642</v>
      </c>
      <c r="E396" s="99" t="s">
        <v>954</v>
      </c>
      <c r="F396" s="99"/>
      <c r="G396" s="99"/>
      <c r="H396" s="313"/>
      <c r="I396" s="99"/>
      <c r="J396" s="873"/>
    </row>
    <row r="397" spans="1:12" ht="13.2" customHeight="1">
      <c r="A397" s="394"/>
      <c r="B397" s="99"/>
      <c r="C397" s="99"/>
      <c r="D397" s="99"/>
      <c r="E397" s="99"/>
      <c r="F397" s="99"/>
      <c r="G397" s="99"/>
      <c r="H397" s="26"/>
      <c r="I397" s="99"/>
      <c r="J397" s="873"/>
      <c r="L397"/>
    </row>
    <row r="398" spans="1:12">
      <c r="A398" s="394"/>
      <c r="B398" s="105" t="s">
        <v>991</v>
      </c>
      <c r="C398" s="99"/>
      <c r="D398" s="99"/>
      <c r="E398" s="99"/>
      <c r="F398" s="273" t="s">
        <v>1046</v>
      </c>
      <c r="G398" s="117"/>
      <c r="H398" s="314"/>
      <c r="I398" s="304"/>
      <c r="J398" s="490"/>
      <c r="L398"/>
    </row>
    <row r="399" spans="1:12">
      <c r="A399" s="394"/>
      <c r="B399" s="111" t="s">
        <v>1139</v>
      </c>
      <c r="C399" s="111" t="s">
        <v>14</v>
      </c>
      <c r="D399" s="1365">
        <f>D388-5*LOG10(D396/10)</f>
        <v>1.083536472413366</v>
      </c>
      <c r="E399" s="99" t="s">
        <v>1732</v>
      </c>
      <c r="F399" s="99"/>
      <c r="G399" s="99"/>
      <c r="H399" s="316"/>
      <c r="I399" s="302"/>
      <c r="J399" s="490"/>
      <c r="L399"/>
    </row>
    <row r="400" spans="1:12" ht="13.2" customHeight="1">
      <c r="A400" s="394"/>
      <c r="B400" s="99"/>
      <c r="C400" s="99"/>
      <c r="D400" s="99"/>
      <c r="E400" s="99"/>
      <c r="F400" s="99"/>
      <c r="G400" s="99"/>
      <c r="H400" s="99"/>
      <c r="I400" s="99"/>
      <c r="J400" s="490"/>
      <c r="L400" s="26"/>
    </row>
    <row r="401" spans="1:14" s="53" customFormat="1" ht="18" customHeight="1">
      <c r="A401" s="329"/>
      <c r="B401" s="105" t="s">
        <v>1050</v>
      </c>
      <c r="C401" s="99"/>
      <c r="D401" s="99"/>
      <c r="E401" s="551"/>
      <c r="F401" s="99"/>
      <c r="G401" s="1005"/>
      <c r="H401" s="1006"/>
      <c r="I401" s="973"/>
      <c r="J401" s="493"/>
      <c r="K401" s="70"/>
      <c r="L401" s="70"/>
    </row>
    <row r="402" spans="1:14">
      <c r="A402" s="394"/>
      <c r="B402" s="105" t="s">
        <v>1051</v>
      </c>
      <c r="C402" s="105"/>
      <c r="D402" s="99"/>
      <c r="E402" s="99"/>
      <c r="F402" s="99"/>
      <c r="G402" s="1007"/>
      <c r="H402" s="975"/>
      <c r="I402" s="976"/>
      <c r="J402" s="490"/>
    </row>
    <row r="403" spans="1:14" ht="16.2">
      <c r="A403" s="394"/>
      <c r="B403" s="506" t="s">
        <v>1036</v>
      </c>
      <c r="C403" s="506" t="s">
        <v>1037</v>
      </c>
      <c r="D403" s="2346">
        <f>POWER(10,(0.4*(H393-D399)))</f>
        <v>32.645524979636953</v>
      </c>
      <c r="E403" s="108" t="s">
        <v>2285</v>
      </c>
      <c r="F403" s="326" t="s">
        <v>1044</v>
      </c>
      <c r="G403" s="1014"/>
      <c r="H403" s="1015" t="s">
        <v>1043</v>
      </c>
      <c r="I403" s="1016"/>
      <c r="J403" s="490"/>
      <c r="L403"/>
    </row>
    <row r="404" spans="1:14" ht="13.2" customHeight="1">
      <c r="A404" s="394"/>
      <c r="B404" s="26"/>
      <c r="C404" s="99"/>
      <c r="D404" s="99"/>
      <c r="E404" s="99"/>
      <c r="F404" s="99"/>
      <c r="G404" s="99"/>
      <c r="H404" s="26"/>
      <c r="I404" s="99"/>
      <c r="J404" s="490"/>
      <c r="L404"/>
    </row>
    <row r="405" spans="1:14" ht="17.25" customHeight="1">
      <c r="A405" s="394"/>
      <c r="B405" s="105" t="s">
        <v>1055</v>
      </c>
      <c r="C405" s="99"/>
      <c r="D405" s="99"/>
      <c r="E405" s="99"/>
      <c r="F405" s="99"/>
      <c r="G405" s="99"/>
      <c r="H405" s="551" t="s">
        <v>1047</v>
      </c>
      <c r="I405" s="99"/>
      <c r="J405" s="873"/>
    </row>
    <row r="406" spans="1:14">
      <c r="A406" s="394"/>
      <c r="B406" s="661" t="s">
        <v>1035</v>
      </c>
      <c r="C406" s="506" t="s">
        <v>828</v>
      </c>
      <c r="D406" s="1356">
        <f>H390/D390*1000000000</f>
        <v>4500</v>
      </c>
      <c r="E406" s="108" t="s">
        <v>1013</v>
      </c>
      <c r="F406" s="490"/>
      <c r="G406" s="1008"/>
      <c r="H406" s="1041" t="s">
        <v>1044</v>
      </c>
      <c r="I406" s="361"/>
      <c r="J406" s="490"/>
      <c r="L406"/>
    </row>
    <row r="407" spans="1:14" ht="13.2" customHeight="1">
      <c r="A407" s="394"/>
      <c r="B407" s="111"/>
      <c r="C407" s="99"/>
      <c r="D407" s="1042"/>
      <c r="E407" s="99"/>
      <c r="F407" s="99"/>
      <c r="G407" s="99"/>
      <c r="H407" s="99"/>
      <c r="I407" s="99"/>
      <c r="J407" s="490"/>
      <c r="L407"/>
      <c r="N407" s="967"/>
    </row>
    <row r="408" spans="1:14">
      <c r="A408" s="394"/>
      <c r="B408" s="105" t="s">
        <v>1056</v>
      </c>
      <c r="C408" s="99"/>
      <c r="D408" s="99"/>
      <c r="E408" s="99"/>
      <c r="F408" s="99"/>
      <c r="G408" s="99"/>
      <c r="H408" s="955"/>
      <c r="I408" s="587" t="s">
        <v>1317</v>
      </c>
      <c r="J408" s="873"/>
      <c r="L408"/>
    </row>
    <row r="409" spans="1:14" ht="17.25" customHeight="1">
      <c r="A409" s="394"/>
      <c r="B409" s="111" t="s">
        <v>1041</v>
      </c>
      <c r="C409" s="111" t="s">
        <v>676</v>
      </c>
      <c r="D409" s="1487">
        <f>SQRT((D403*H391)/(4*PI()*H389*POWER(D406,4)))</f>
        <v>6554252872.2839165</v>
      </c>
      <c r="E409" s="99" t="s">
        <v>681</v>
      </c>
      <c r="F409" s="1043" t="s">
        <v>1315</v>
      </c>
      <c r="G409" s="1044"/>
      <c r="H409" s="314"/>
      <c r="I409" s="304"/>
      <c r="J409" s="873"/>
      <c r="L409"/>
    </row>
    <row r="410" spans="1:14" ht="16.2">
      <c r="A410" s="394"/>
      <c r="B410" s="108"/>
      <c r="C410" s="506" t="s">
        <v>676</v>
      </c>
      <c r="D410" s="1363">
        <f>D409/H392</f>
        <v>9.4170299889136739</v>
      </c>
      <c r="E410" s="509" t="s">
        <v>2286</v>
      </c>
      <c r="F410" s="1010" t="s">
        <v>1066</v>
      </c>
      <c r="G410" s="1009"/>
      <c r="H410" s="1003"/>
      <c r="I410" s="1004"/>
      <c r="J410" s="891"/>
      <c r="L410"/>
    </row>
    <row r="411" spans="1:14" ht="17.25" customHeight="1">
      <c r="A411" s="394"/>
      <c r="B411" s="105" t="s">
        <v>1053</v>
      </c>
      <c r="C411" s="112"/>
      <c r="D411" s="99"/>
      <c r="E411" s="99"/>
      <c r="F411" s="1045" t="s">
        <v>1316</v>
      </c>
      <c r="G411" s="1046"/>
      <c r="H411" s="316"/>
      <c r="I411" s="302"/>
      <c r="J411" s="490"/>
      <c r="L411"/>
    </row>
    <row r="412" spans="1:14" ht="15">
      <c r="A412" s="394"/>
      <c r="B412" s="105" t="s">
        <v>1054</v>
      </c>
      <c r="C412" s="99"/>
      <c r="D412" s="99"/>
      <c r="E412" s="99"/>
      <c r="F412" s="99"/>
      <c r="G412" s="648"/>
      <c r="H412" s="1047" t="s">
        <v>1085</v>
      </c>
      <c r="I412" s="664"/>
      <c r="J412" s="490"/>
      <c r="L412"/>
    </row>
    <row r="413" spans="1:14" ht="17.25" customHeight="1">
      <c r="A413" s="394"/>
      <c r="B413" s="111" t="s">
        <v>1063</v>
      </c>
      <c r="C413" s="111" t="s">
        <v>1058</v>
      </c>
      <c r="D413" s="1482">
        <f>D391*300000</f>
        <v>3.3</v>
      </c>
      <c r="E413" s="99" t="s">
        <v>684</v>
      </c>
      <c r="G413" s="99"/>
      <c r="H413" s="1012"/>
      <c r="I413" s="99"/>
      <c r="J413" s="490"/>
    </row>
    <row r="414" spans="1:14" ht="17.25" customHeight="1">
      <c r="A414" s="394"/>
      <c r="B414" s="111" t="s">
        <v>1064</v>
      </c>
      <c r="C414" s="111" t="s">
        <v>1059</v>
      </c>
      <c r="D414" s="1482">
        <f>(D396*H387*TAN(D392*H388)/(365.25*24*3600))</f>
        <v>30.837363148139257</v>
      </c>
      <c r="E414" s="99" t="s">
        <v>684</v>
      </c>
      <c r="F414" s="99"/>
      <c r="G414" s="99"/>
      <c r="H414" s="1011"/>
      <c r="I414" s="1002"/>
      <c r="J414" s="490"/>
    </row>
    <row r="415" spans="1:14">
      <c r="A415" s="394"/>
      <c r="B415" s="99"/>
      <c r="C415" s="99"/>
      <c r="D415" s="26"/>
      <c r="E415" s="99"/>
      <c r="F415" s="99"/>
      <c r="G415" s="99"/>
      <c r="H415" s="99"/>
      <c r="I415" s="99"/>
      <c r="J415" s="490"/>
      <c r="L415"/>
    </row>
    <row r="416" spans="1:14" ht="16.2" customHeight="1">
      <c r="A416" s="394"/>
      <c r="B416" s="111" t="s">
        <v>1065</v>
      </c>
      <c r="C416" s="111" t="s">
        <v>1062</v>
      </c>
      <c r="D416" s="1365">
        <f>SQRT((POWER(D413,2))+(POWER(D414,2)))</f>
        <v>31.013432024369976</v>
      </c>
      <c r="E416" s="99" t="s">
        <v>684</v>
      </c>
      <c r="F416" s="99"/>
      <c r="G416" s="99"/>
      <c r="H416" s="1164"/>
      <c r="I416" s="1002"/>
      <c r="J416" s="490"/>
      <c r="L416"/>
    </row>
    <row r="417" spans="1:14" ht="9" customHeight="1">
      <c r="A417" s="496"/>
      <c r="B417" s="502"/>
      <c r="C417" s="502"/>
      <c r="D417" s="502"/>
      <c r="E417" s="502"/>
      <c r="F417" s="502"/>
      <c r="G417" s="502"/>
      <c r="H417" s="502"/>
      <c r="I417" s="99"/>
      <c r="J417" s="499"/>
      <c r="L417"/>
    </row>
    <row r="418" spans="1:14" ht="15.6">
      <c r="A418" s="500"/>
      <c r="B418" s="391"/>
      <c r="C418" s="391"/>
      <c r="D418" s="391"/>
      <c r="E418" s="391"/>
      <c r="F418" s="391"/>
      <c r="G418" s="391"/>
      <c r="H418" s="391"/>
      <c r="I418" s="2337" t="s">
        <v>513</v>
      </c>
      <c r="J418" s="487"/>
      <c r="L418" s="4"/>
      <c r="M418" s="4"/>
      <c r="N418" s="4"/>
    </row>
    <row r="419" spans="1:14" ht="13.8" customHeight="1">
      <c r="A419" s="394"/>
      <c r="B419" s="99"/>
      <c r="C419" s="99"/>
      <c r="D419" s="1874" t="s">
        <v>1067</v>
      </c>
      <c r="E419" s="99"/>
      <c r="F419" s="99"/>
      <c r="G419" s="99"/>
      <c r="H419" s="99"/>
      <c r="I419" s="99"/>
      <c r="J419" s="490"/>
      <c r="L419" s="4"/>
      <c r="M419" s="1316"/>
    </row>
    <row r="420" spans="1:14">
      <c r="A420" s="394"/>
      <c r="B420" s="99"/>
      <c r="C420" s="99"/>
      <c r="D420" s="99"/>
      <c r="E420" s="99"/>
      <c r="F420" s="99"/>
      <c r="G420" s="99"/>
      <c r="H420" s="99"/>
      <c r="I420" s="99"/>
      <c r="J420" s="490"/>
      <c r="L420" s="4"/>
      <c r="M420" s="4"/>
      <c r="N420" s="4"/>
    </row>
    <row r="421" spans="1:14">
      <c r="A421" s="394"/>
      <c r="B421" s="99"/>
      <c r="C421" s="99"/>
      <c r="D421" s="99"/>
      <c r="E421" s="99"/>
      <c r="F421" s="99"/>
      <c r="G421" s="99"/>
      <c r="H421" s="99"/>
      <c r="I421" s="99"/>
      <c r="J421" s="490"/>
      <c r="L421" s="626"/>
      <c r="M421" s="4"/>
      <c r="N421" s="4"/>
    </row>
    <row r="422" spans="1:14">
      <c r="A422" s="394"/>
      <c r="B422" s="99"/>
      <c r="C422" s="99"/>
      <c r="D422" s="99"/>
      <c r="E422" s="99"/>
      <c r="F422" s="99"/>
      <c r="G422" s="99"/>
      <c r="H422" s="99"/>
      <c r="I422" s="99"/>
      <c r="J422" s="490"/>
    </row>
    <row r="423" spans="1:14">
      <c r="A423" s="394"/>
      <c r="B423" s="99"/>
      <c r="C423" s="99"/>
      <c r="D423" s="99"/>
      <c r="E423" s="99"/>
      <c r="F423" s="99"/>
      <c r="G423" s="99"/>
      <c r="H423" s="99"/>
      <c r="I423" s="99"/>
      <c r="J423" s="490"/>
    </row>
    <row r="424" spans="1:14">
      <c r="A424" s="394"/>
      <c r="B424" s="99"/>
      <c r="C424" s="99"/>
      <c r="D424" s="99"/>
      <c r="E424" s="99"/>
      <c r="F424" s="99"/>
      <c r="G424" s="99"/>
      <c r="H424" s="99"/>
      <c r="I424" s="99"/>
      <c r="J424" s="490"/>
    </row>
    <row r="425" spans="1:14">
      <c r="A425" s="394"/>
      <c r="B425" s="99"/>
      <c r="C425" s="99"/>
      <c r="D425" s="99"/>
      <c r="E425" s="99"/>
      <c r="F425" s="99"/>
      <c r="G425" s="99"/>
      <c r="H425" s="99"/>
      <c r="I425" s="99"/>
      <c r="J425" s="490"/>
    </row>
    <row r="426" spans="1:14">
      <c r="A426" s="394"/>
      <c r="B426" s="99"/>
      <c r="C426" s="99"/>
      <c r="D426" s="99"/>
      <c r="E426" s="99"/>
      <c r="F426" s="99"/>
      <c r="G426" s="99"/>
      <c r="H426" s="99"/>
      <c r="I426" s="99"/>
      <c r="J426" s="490"/>
    </row>
    <row r="427" spans="1:14">
      <c r="A427" s="394"/>
      <c r="B427" s="99"/>
      <c r="C427" s="99"/>
      <c r="D427" s="99"/>
      <c r="E427" s="99"/>
      <c r="F427" s="99"/>
      <c r="G427" s="99"/>
      <c r="H427" s="99"/>
      <c r="I427" s="99"/>
      <c r="J427" s="490"/>
    </row>
    <row r="428" spans="1:14">
      <c r="A428" s="394"/>
      <c r="B428" s="99"/>
      <c r="C428" s="99"/>
      <c r="D428" s="99"/>
      <c r="E428" s="99"/>
      <c r="F428" s="99"/>
      <c r="G428" s="99"/>
      <c r="H428" s="99"/>
      <c r="I428" s="99"/>
      <c r="J428" s="490"/>
    </row>
    <row r="429" spans="1:14">
      <c r="A429" s="394"/>
      <c r="B429" s="99"/>
      <c r="C429" s="99"/>
      <c r="D429" s="99"/>
      <c r="E429" s="99"/>
      <c r="F429" s="99"/>
      <c r="G429" s="99"/>
      <c r="H429" s="99"/>
      <c r="I429" s="99"/>
      <c r="J429" s="490"/>
    </row>
    <row r="430" spans="1:14">
      <c r="A430" s="394"/>
      <c r="B430" s="99"/>
      <c r="C430" s="99"/>
      <c r="D430" s="99"/>
      <c r="E430" s="99"/>
      <c r="F430" s="99"/>
      <c r="G430" s="99"/>
      <c r="H430" s="99"/>
      <c r="I430" s="99"/>
      <c r="J430" s="490"/>
    </row>
    <row r="431" spans="1:14">
      <c r="A431" s="394"/>
      <c r="B431" s="99"/>
      <c r="C431" s="99"/>
      <c r="D431" s="99"/>
      <c r="E431" s="99"/>
      <c r="F431" s="99"/>
      <c r="G431" s="99"/>
      <c r="H431" s="99"/>
      <c r="I431" s="99"/>
      <c r="J431" s="490"/>
    </row>
    <row r="432" spans="1:14">
      <c r="A432" s="394"/>
      <c r="B432" s="99"/>
      <c r="C432" s="99"/>
      <c r="D432" s="99"/>
      <c r="E432" s="99"/>
      <c r="F432" s="99"/>
      <c r="G432" s="99"/>
      <c r="H432" s="99"/>
      <c r="I432" s="99"/>
      <c r="J432" s="490"/>
    </row>
    <row r="433" spans="1:12">
      <c r="A433" s="394"/>
      <c r="B433" s="99"/>
      <c r="C433" s="99"/>
      <c r="D433" s="99"/>
      <c r="E433" s="99"/>
      <c r="F433" s="99"/>
      <c r="G433" s="99"/>
      <c r="H433" s="99"/>
      <c r="I433" s="99"/>
      <c r="J433" s="490"/>
    </row>
    <row r="434" spans="1:12">
      <c r="A434" s="394"/>
      <c r="B434" s="99"/>
      <c r="C434" s="99"/>
      <c r="D434" s="99"/>
      <c r="E434" s="99"/>
      <c r="F434" s="99"/>
      <c r="G434" s="99"/>
      <c r="H434" s="99"/>
      <c r="I434" s="99"/>
      <c r="J434" s="490"/>
    </row>
    <row r="435" spans="1:12">
      <c r="A435" s="394"/>
      <c r="B435" s="99"/>
      <c r="C435" s="99"/>
      <c r="D435" s="99"/>
      <c r="E435" s="99"/>
      <c r="F435" s="99"/>
      <c r="G435" s="99"/>
      <c r="H435" s="99"/>
      <c r="I435" s="99"/>
      <c r="J435" s="490"/>
    </row>
    <row r="436" spans="1:12">
      <c r="A436" s="394"/>
      <c r="B436" s="99"/>
      <c r="C436" s="99"/>
      <c r="D436" s="99"/>
      <c r="E436" s="99"/>
      <c r="F436" s="99"/>
      <c r="G436" s="99"/>
      <c r="H436" s="99"/>
      <c r="I436" s="99"/>
      <c r="J436" s="490"/>
    </row>
    <row r="437" spans="1:12">
      <c r="A437" s="394"/>
      <c r="B437" s="99"/>
      <c r="C437" s="99"/>
      <c r="D437" s="99"/>
      <c r="E437" s="99"/>
      <c r="F437" s="99"/>
      <c r="G437" s="99"/>
      <c r="H437" s="99"/>
      <c r="I437" s="99"/>
      <c r="J437" s="490"/>
    </row>
    <row r="438" spans="1:12">
      <c r="A438" s="394"/>
      <c r="B438" s="99"/>
      <c r="C438" s="99"/>
      <c r="D438" s="99"/>
      <c r="E438" s="99"/>
      <c r="F438" s="99"/>
      <c r="G438" s="99"/>
      <c r="H438" s="99"/>
      <c r="I438" s="99"/>
      <c r="J438" s="490"/>
    </row>
    <row r="439" spans="1:12">
      <c r="A439" s="394"/>
      <c r="B439" s="99"/>
      <c r="C439" s="99"/>
      <c r="D439" s="99"/>
      <c r="E439" s="99"/>
      <c r="F439" s="99"/>
      <c r="G439" s="99"/>
      <c r="H439" s="99"/>
      <c r="I439" s="99"/>
      <c r="J439" s="490"/>
    </row>
    <row r="440" spans="1:12">
      <c r="A440" s="394"/>
      <c r="B440" s="99"/>
      <c r="C440" s="99"/>
      <c r="D440" s="99"/>
      <c r="E440" s="99"/>
      <c r="F440" s="99"/>
      <c r="G440" s="99"/>
      <c r="H440" s="99"/>
      <c r="I440" s="99"/>
      <c r="J440" s="490"/>
    </row>
    <row r="441" spans="1:12">
      <c r="A441" s="394"/>
      <c r="B441" s="99"/>
      <c r="C441" s="99"/>
      <c r="D441" s="99"/>
      <c r="E441" s="99"/>
      <c r="F441" s="99"/>
      <c r="G441" s="99"/>
      <c r="H441" s="99"/>
      <c r="I441" s="99"/>
      <c r="J441" s="490"/>
    </row>
    <row r="442" spans="1:12">
      <c r="A442" s="394"/>
      <c r="B442" s="99"/>
      <c r="C442" s="99"/>
      <c r="D442" s="99"/>
      <c r="E442" s="99"/>
      <c r="F442" s="99"/>
      <c r="G442" s="99"/>
      <c r="H442" s="99"/>
      <c r="I442" s="99"/>
      <c r="J442" s="490"/>
    </row>
    <row r="443" spans="1:12">
      <c r="A443" s="394"/>
      <c r="B443" s="99"/>
      <c r="C443" s="99"/>
      <c r="D443" s="99"/>
      <c r="E443" s="99"/>
      <c r="F443" s="99"/>
      <c r="G443" s="99"/>
      <c r="H443" s="99"/>
      <c r="I443" s="99"/>
      <c r="J443" s="490"/>
    </row>
    <row r="444" spans="1:12">
      <c r="A444" s="394"/>
      <c r="B444" s="99"/>
      <c r="C444" s="99"/>
      <c r="D444" s="99"/>
      <c r="E444" s="99"/>
      <c r="F444" s="99"/>
      <c r="G444" s="99"/>
      <c r="H444" s="99"/>
      <c r="I444" s="99"/>
      <c r="J444" s="490"/>
    </row>
    <row r="445" spans="1:12">
      <c r="A445" s="394"/>
      <c r="B445" s="99"/>
      <c r="C445" s="99"/>
      <c r="D445" s="99"/>
      <c r="E445" s="99"/>
      <c r="F445" s="99"/>
      <c r="G445" s="99"/>
      <c r="H445" s="99"/>
      <c r="I445" s="99"/>
      <c r="J445" s="490"/>
    </row>
    <row r="446" spans="1:12">
      <c r="A446" s="394"/>
      <c r="B446" s="99"/>
      <c r="C446" s="99"/>
      <c r="D446" s="99"/>
      <c r="E446" s="99"/>
      <c r="F446" s="99"/>
      <c r="G446" s="99"/>
      <c r="H446" s="99"/>
      <c r="I446" s="99"/>
      <c r="J446" s="490"/>
      <c r="L446"/>
    </row>
    <row r="447" spans="1:12">
      <c r="A447" s="394"/>
      <c r="B447" s="99"/>
      <c r="C447" s="99"/>
      <c r="D447" s="99"/>
      <c r="E447" s="99"/>
      <c r="F447" s="99"/>
      <c r="G447" s="99"/>
      <c r="H447" s="99"/>
      <c r="I447" s="99"/>
      <c r="J447" s="490"/>
    </row>
    <row r="448" spans="1:12">
      <c r="A448" s="394"/>
      <c r="B448" s="99"/>
      <c r="C448" s="99"/>
      <c r="D448" s="99"/>
      <c r="E448" s="99"/>
      <c r="F448" s="99"/>
      <c r="G448" s="99"/>
      <c r="H448" s="99"/>
      <c r="I448" s="99"/>
      <c r="J448" s="490"/>
    </row>
    <row r="449" spans="1:10">
      <c r="A449" s="394"/>
      <c r="B449" s="99"/>
      <c r="C449" s="99"/>
      <c r="D449" s="99"/>
      <c r="E449" s="99"/>
      <c r="F449" s="99"/>
      <c r="G449" s="99"/>
      <c r="H449" s="99"/>
      <c r="I449" s="99"/>
      <c r="J449" s="490"/>
    </row>
    <row r="450" spans="1:10">
      <c r="A450" s="394"/>
      <c r="B450" s="99"/>
      <c r="C450" s="99"/>
      <c r="D450" s="99"/>
      <c r="E450" s="99"/>
      <c r="F450" s="99"/>
      <c r="G450" s="99"/>
      <c r="H450" s="99"/>
      <c r="I450" s="99"/>
      <c r="J450" s="490"/>
    </row>
    <row r="451" spans="1:10">
      <c r="A451" s="394"/>
      <c r="B451" s="99"/>
      <c r="C451" s="99"/>
      <c r="D451" s="99"/>
      <c r="E451" s="99"/>
      <c r="F451" s="99"/>
      <c r="G451" s="99"/>
      <c r="H451" s="99"/>
      <c r="I451" s="99"/>
      <c r="J451" s="490"/>
    </row>
    <row r="452" spans="1:10">
      <c r="A452" s="394"/>
      <c r="B452" s="99"/>
      <c r="C452" s="99"/>
      <c r="D452" s="99"/>
      <c r="E452" s="99"/>
      <c r="F452" s="99"/>
      <c r="G452" s="99"/>
      <c r="H452" s="99"/>
      <c r="I452" s="99"/>
      <c r="J452" s="490"/>
    </row>
    <row r="453" spans="1:10">
      <c r="A453" s="394"/>
      <c r="B453" s="99"/>
      <c r="C453" s="99"/>
      <c r="D453" s="99"/>
      <c r="E453" s="99"/>
      <c r="F453" s="99"/>
      <c r="G453" s="99"/>
      <c r="H453" s="99"/>
      <c r="I453" s="99"/>
      <c r="J453" s="490"/>
    </row>
    <row r="454" spans="1:10">
      <c r="A454" s="394"/>
      <c r="B454" s="99"/>
      <c r="C454" s="99"/>
      <c r="D454" s="99"/>
      <c r="E454" s="99"/>
      <c r="F454" s="99"/>
      <c r="G454" s="99"/>
      <c r="H454" s="99"/>
      <c r="I454" s="99"/>
      <c r="J454" s="490"/>
    </row>
    <row r="455" spans="1:10">
      <c r="A455" s="394"/>
      <c r="B455" s="99"/>
      <c r="C455" s="99"/>
      <c r="D455" s="99"/>
      <c r="E455" s="99"/>
      <c r="F455" s="99"/>
      <c r="G455" s="99"/>
      <c r="H455" s="99"/>
      <c r="I455" s="99"/>
      <c r="J455" s="490"/>
    </row>
    <row r="456" spans="1:10">
      <c r="A456" s="496"/>
      <c r="B456" s="502"/>
      <c r="C456" s="502"/>
      <c r="D456" s="502"/>
      <c r="E456" s="502"/>
      <c r="F456" s="502"/>
      <c r="G456" s="502"/>
      <c r="H456" s="502"/>
      <c r="I456" s="99"/>
      <c r="J456" s="499"/>
    </row>
    <row r="457" spans="1:10" ht="15.6">
      <c r="A457" s="500"/>
      <c r="B457" s="391"/>
      <c r="C457" s="391"/>
      <c r="D457" s="391"/>
      <c r="E457" s="391"/>
      <c r="F457" s="391"/>
      <c r="G457" s="391"/>
      <c r="H457" s="391"/>
      <c r="I457" s="2337" t="s">
        <v>535</v>
      </c>
      <c r="J457" s="487"/>
    </row>
    <row r="458" spans="1:10">
      <c r="A458" s="394"/>
      <c r="B458" s="99"/>
      <c r="C458" s="99"/>
      <c r="D458" s="99"/>
      <c r="E458" s="99"/>
      <c r="F458" s="99"/>
      <c r="G458" s="99"/>
      <c r="H458" s="99"/>
      <c r="I458" s="99"/>
      <c r="J458" s="490"/>
    </row>
    <row r="459" spans="1:10">
      <c r="A459" s="394"/>
      <c r="B459" s="107"/>
      <c r="C459" s="99"/>
      <c r="D459" s="99"/>
      <c r="E459" s="99"/>
      <c r="F459" s="99"/>
      <c r="G459" s="99"/>
      <c r="H459" s="99"/>
      <c r="I459" s="99"/>
      <c r="J459" s="490"/>
    </row>
    <row r="460" spans="1:10">
      <c r="A460" s="394"/>
      <c r="B460" s="99"/>
      <c r="C460" s="99"/>
      <c r="D460" s="99"/>
      <c r="E460" s="99"/>
      <c r="F460" s="99"/>
      <c r="G460" s="99"/>
      <c r="H460" s="99"/>
      <c r="I460" s="99"/>
      <c r="J460" s="490"/>
    </row>
    <row r="461" spans="1:10">
      <c r="A461" s="394"/>
      <c r="B461" s="99"/>
      <c r="C461" s="99"/>
      <c r="D461" s="99"/>
      <c r="E461" s="99"/>
      <c r="F461" s="99"/>
      <c r="G461" s="99"/>
      <c r="H461" s="99"/>
      <c r="I461" s="99"/>
      <c r="J461" s="490"/>
    </row>
    <row r="462" spans="1:10">
      <c r="A462" s="394"/>
      <c r="B462" s="107"/>
      <c r="C462" s="99"/>
      <c r="D462" s="99"/>
      <c r="E462" s="99"/>
      <c r="F462" s="99"/>
      <c r="G462" s="99"/>
      <c r="H462" s="99"/>
      <c r="I462" s="99"/>
      <c r="J462" s="490"/>
    </row>
    <row r="463" spans="1:10">
      <c r="A463" s="394"/>
      <c r="B463" s="99"/>
      <c r="C463" s="99"/>
      <c r="D463" s="99"/>
      <c r="E463" s="99"/>
      <c r="F463" s="99"/>
      <c r="G463" s="99"/>
      <c r="H463" s="99"/>
      <c r="I463" s="99"/>
      <c r="J463" s="490"/>
    </row>
    <row r="464" spans="1:10">
      <c r="A464" s="394"/>
      <c r="B464" s="99"/>
      <c r="C464" s="99"/>
      <c r="D464" s="99"/>
      <c r="E464" s="99"/>
      <c r="F464" s="99"/>
      <c r="G464" s="99"/>
      <c r="H464" s="99"/>
      <c r="I464" s="99"/>
      <c r="J464" s="490"/>
    </row>
    <row r="465" spans="1:12">
      <c r="A465" s="394"/>
      <c r="B465" s="99"/>
      <c r="C465" s="99"/>
      <c r="D465" s="99"/>
      <c r="E465" s="99"/>
      <c r="F465" s="99"/>
      <c r="G465" s="99"/>
      <c r="H465" s="99"/>
      <c r="I465" s="99"/>
      <c r="J465" s="490"/>
    </row>
    <row r="466" spans="1:12">
      <c r="A466" s="394"/>
      <c r="B466" s="99"/>
      <c r="C466" s="99"/>
      <c r="D466" s="99"/>
      <c r="E466" s="99"/>
      <c r="F466" s="99"/>
      <c r="G466" s="99"/>
      <c r="H466" s="99"/>
      <c r="I466" s="99"/>
      <c r="J466" s="490"/>
    </row>
    <row r="467" spans="1:12">
      <c r="A467" s="394"/>
      <c r="B467" s="99"/>
      <c r="C467" s="99"/>
      <c r="D467" s="99"/>
      <c r="E467" s="99"/>
      <c r="F467" s="99"/>
      <c r="G467" s="99"/>
      <c r="H467" s="99"/>
      <c r="I467" s="99"/>
      <c r="J467" s="490"/>
    </row>
    <row r="468" spans="1:12">
      <c r="A468" s="394"/>
      <c r="B468" s="99"/>
      <c r="C468" s="99"/>
      <c r="D468" s="99"/>
      <c r="E468" s="99"/>
      <c r="F468" s="99"/>
      <c r="G468" s="99"/>
      <c r="H468" s="99"/>
      <c r="I468" s="99"/>
      <c r="J468" s="490"/>
    </row>
    <row r="469" spans="1:12">
      <c r="A469" s="394"/>
      <c r="B469" s="99"/>
      <c r="C469" s="99"/>
      <c r="D469" s="99"/>
      <c r="E469" s="99"/>
      <c r="F469" s="99"/>
      <c r="G469" s="99"/>
      <c r="H469" s="99"/>
      <c r="I469" s="99"/>
      <c r="J469" s="490"/>
    </row>
    <row r="470" spans="1:12">
      <c r="A470" s="394"/>
      <c r="B470" s="99"/>
      <c r="C470" s="99"/>
      <c r="D470" s="99"/>
      <c r="E470" s="99"/>
      <c r="F470" s="99"/>
      <c r="G470" s="99"/>
      <c r="H470" s="99"/>
      <c r="I470" s="99"/>
      <c r="J470" s="490"/>
    </row>
    <row r="471" spans="1:12">
      <c r="A471" s="394"/>
      <c r="B471" s="99"/>
      <c r="C471" s="99"/>
      <c r="D471" s="99"/>
      <c r="E471" s="99"/>
      <c r="F471" s="99"/>
      <c r="G471" s="99"/>
      <c r="H471" s="99"/>
      <c r="I471" s="99"/>
      <c r="J471" s="490"/>
      <c r="L471"/>
    </row>
    <row r="472" spans="1:12">
      <c r="A472" s="394"/>
      <c r="B472" s="99"/>
      <c r="C472" s="99"/>
      <c r="D472" s="99"/>
      <c r="E472" s="99"/>
      <c r="F472" s="99"/>
      <c r="G472" s="99"/>
      <c r="H472" s="99"/>
      <c r="I472" s="99"/>
      <c r="J472" s="490"/>
    </row>
    <row r="473" spans="1:12">
      <c r="A473" s="394"/>
      <c r="B473" s="99"/>
      <c r="C473" s="99"/>
      <c r="D473" s="99"/>
      <c r="E473" s="99"/>
      <c r="F473" s="99"/>
      <c r="G473" s="99"/>
      <c r="H473" s="99"/>
      <c r="I473" s="99"/>
      <c r="J473" s="490"/>
    </row>
    <row r="474" spans="1:12">
      <c r="A474" s="394"/>
      <c r="B474" s="99"/>
      <c r="C474" s="99"/>
      <c r="D474" s="99"/>
      <c r="E474" s="99"/>
      <c r="F474" s="99"/>
      <c r="G474" s="99"/>
      <c r="H474" s="99"/>
      <c r="I474" s="99"/>
      <c r="J474" s="490"/>
    </row>
    <row r="475" spans="1:12">
      <c r="A475" s="394"/>
      <c r="B475" s="99"/>
      <c r="C475" s="99"/>
      <c r="D475" s="99"/>
      <c r="E475" s="99"/>
      <c r="F475" s="99"/>
      <c r="G475" s="99"/>
      <c r="H475" s="99"/>
      <c r="I475" s="99"/>
      <c r="J475" s="490"/>
    </row>
    <row r="476" spans="1:12">
      <c r="A476" s="394"/>
      <c r="B476" s="99"/>
      <c r="C476" s="99"/>
      <c r="D476" s="99"/>
      <c r="E476" s="99"/>
      <c r="F476" s="99"/>
      <c r="G476" s="99"/>
      <c r="H476" s="99"/>
      <c r="I476" s="99"/>
      <c r="J476" s="490"/>
    </row>
    <row r="477" spans="1:12">
      <c r="A477" s="394"/>
      <c r="B477" s="99"/>
      <c r="C477" s="99"/>
      <c r="D477" s="99"/>
      <c r="E477" s="99"/>
      <c r="F477" s="99"/>
      <c r="G477" s="99"/>
      <c r="H477" s="99"/>
      <c r="I477" s="99"/>
      <c r="J477" s="490"/>
    </row>
    <row r="478" spans="1:12">
      <c r="A478" s="394"/>
      <c r="B478" s="99"/>
      <c r="C478" s="99"/>
      <c r="D478" s="99"/>
      <c r="E478" s="99"/>
      <c r="F478" s="99"/>
      <c r="G478" s="99"/>
      <c r="H478" s="99"/>
      <c r="I478" s="99"/>
      <c r="J478" s="490"/>
    </row>
    <row r="479" spans="1:12">
      <c r="A479" s="394"/>
      <c r="B479" s="99"/>
      <c r="C479" s="99"/>
      <c r="D479" s="99"/>
      <c r="E479" s="99"/>
      <c r="F479" s="99"/>
      <c r="G479" s="99"/>
      <c r="H479" s="99"/>
      <c r="I479" s="99"/>
      <c r="J479" s="490"/>
    </row>
    <row r="480" spans="1:12">
      <c r="A480" s="394"/>
      <c r="B480" s="99"/>
      <c r="C480" s="99"/>
      <c r="D480" s="99"/>
      <c r="E480" s="99"/>
      <c r="F480" s="99"/>
      <c r="G480" s="99"/>
      <c r="H480" s="99"/>
      <c r="I480" s="99"/>
      <c r="J480" s="490"/>
    </row>
    <row r="481" spans="1:10">
      <c r="A481" s="394"/>
      <c r="B481" s="99"/>
      <c r="C481" s="99"/>
      <c r="D481" s="99"/>
      <c r="E481" s="99"/>
      <c r="F481" s="99"/>
      <c r="G481" s="99"/>
      <c r="H481" s="99"/>
      <c r="I481" s="99"/>
      <c r="J481" s="490"/>
    </row>
    <row r="482" spans="1:10">
      <c r="A482" s="394"/>
      <c r="B482" s="99"/>
      <c r="C482" s="99"/>
      <c r="D482" s="99"/>
      <c r="E482" s="99"/>
      <c r="F482" s="99"/>
      <c r="G482" s="99"/>
      <c r="H482" s="99"/>
      <c r="I482" s="99"/>
      <c r="J482" s="490"/>
    </row>
    <row r="483" spans="1:10">
      <c r="A483" s="394"/>
      <c r="B483" s="99"/>
      <c r="C483" s="99"/>
      <c r="D483" s="99"/>
      <c r="E483" s="99"/>
      <c r="F483" s="99"/>
      <c r="G483" s="99"/>
      <c r="H483" s="99"/>
      <c r="I483" s="99"/>
      <c r="J483" s="490"/>
    </row>
    <row r="484" spans="1:10">
      <c r="A484" s="394"/>
      <c r="B484" s="99"/>
      <c r="C484" s="99"/>
      <c r="D484" s="99"/>
      <c r="E484" s="99"/>
      <c r="F484" s="99"/>
      <c r="G484" s="99"/>
      <c r="H484" s="99"/>
      <c r="I484" s="99"/>
      <c r="J484" s="490"/>
    </row>
    <row r="485" spans="1:10">
      <c r="A485" s="394"/>
      <c r="B485" s="99"/>
      <c r="C485" s="99"/>
      <c r="D485" s="99"/>
      <c r="E485" s="99"/>
      <c r="F485" s="99"/>
      <c r="G485" s="99"/>
      <c r="H485" s="99"/>
      <c r="I485" s="99"/>
      <c r="J485" s="490"/>
    </row>
    <row r="486" spans="1:10" ht="12.6" customHeight="1">
      <c r="A486" s="394"/>
      <c r="B486" s="99"/>
      <c r="C486" s="99"/>
      <c r="D486" s="99"/>
      <c r="E486" s="99"/>
      <c r="F486" s="99"/>
      <c r="G486" s="99"/>
      <c r="H486" s="99"/>
      <c r="I486" s="99"/>
      <c r="J486" s="490"/>
    </row>
    <row r="487" spans="1:10">
      <c r="A487" s="394"/>
      <c r="B487" s="111" t="s">
        <v>1069</v>
      </c>
      <c r="C487" s="99" t="s">
        <v>1070</v>
      </c>
      <c r="D487" s="99"/>
      <c r="E487" s="99"/>
      <c r="F487" s="99"/>
      <c r="G487" s="99"/>
      <c r="H487" s="99"/>
      <c r="I487" s="99"/>
      <c r="J487" s="490"/>
    </row>
    <row r="488" spans="1:10">
      <c r="A488" s="394"/>
      <c r="B488" s="111" t="s">
        <v>1072</v>
      </c>
      <c r="C488" s="99" t="s">
        <v>1071</v>
      </c>
      <c r="D488" s="99"/>
      <c r="E488" s="99"/>
      <c r="F488" s="99"/>
      <c r="G488" s="99"/>
      <c r="H488" s="99"/>
      <c r="I488" s="99"/>
      <c r="J488" s="490"/>
    </row>
    <row r="489" spans="1:10">
      <c r="A489" s="394"/>
      <c r="B489" s="111" t="s">
        <v>1073</v>
      </c>
      <c r="C489" s="99" t="s">
        <v>1074</v>
      </c>
      <c r="D489" s="99"/>
      <c r="E489" s="99"/>
      <c r="F489" s="99"/>
      <c r="G489" s="99"/>
      <c r="H489" s="99"/>
      <c r="I489" s="99"/>
      <c r="J489" s="490"/>
    </row>
    <row r="490" spans="1:10">
      <c r="A490" s="394"/>
      <c r="B490" s="111" t="s">
        <v>1075</v>
      </c>
      <c r="C490" s="99" t="s">
        <v>1076</v>
      </c>
      <c r="D490" s="99"/>
      <c r="E490" s="99"/>
      <c r="F490" s="99"/>
      <c r="G490" s="99"/>
      <c r="H490" s="99"/>
      <c r="I490" s="99"/>
      <c r="J490" s="490"/>
    </row>
    <row r="491" spans="1:10">
      <c r="A491" s="394"/>
      <c r="B491" s="111" t="s">
        <v>1077</v>
      </c>
      <c r="C491" s="99" t="s">
        <v>1078</v>
      </c>
      <c r="D491" s="99"/>
      <c r="E491" s="99"/>
      <c r="F491" s="99"/>
      <c r="G491" s="99"/>
      <c r="H491" s="99"/>
      <c r="I491" s="99"/>
      <c r="J491" s="490"/>
    </row>
    <row r="492" spans="1:10">
      <c r="A492" s="394"/>
      <c r="B492" s="111" t="s">
        <v>1079</v>
      </c>
      <c r="C492" s="99" t="s">
        <v>1080</v>
      </c>
      <c r="D492" s="99"/>
      <c r="E492" s="99"/>
      <c r="F492" s="99"/>
      <c r="G492" s="99"/>
      <c r="H492" s="99"/>
      <c r="I492" s="99"/>
      <c r="J492" s="490"/>
    </row>
    <row r="493" spans="1:10">
      <c r="A493" s="394"/>
      <c r="B493" s="111" t="s">
        <v>1082</v>
      </c>
      <c r="C493" s="99" t="s">
        <v>1081</v>
      </c>
      <c r="D493" s="99"/>
      <c r="E493" s="99"/>
      <c r="F493" s="99"/>
      <c r="G493" s="99"/>
      <c r="H493" s="99"/>
      <c r="I493" s="99"/>
      <c r="J493" s="490"/>
    </row>
    <row r="494" spans="1:10">
      <c r="A494" s="496"/>
      <c r="B494" s="533" t="s">
        <v>1084</v>
      </c>
      <c r="C494" s="502" t="s">
        <v>1083</v>
      </c>
      <c r="D494" s="502"/>
      <c r="E494" s="502"/>
      <c r="F494" s="502"/>
      <c r="G494" s="502"/>
      <c r="H494" s="502"/>
      <c r="I494" s="502"/>
      <c r="J494" s="499"/>
    </row>
    <row r="495" spans="1:10">
      <c r="A495" s="1095"/>
      <c r="B495" s="26"/>
      <c r="C495" s="26"/>
      <c r="D495" s="26"/>
      <c r="E495" s="26"/>
      <c r="F495" s="1108"/>
      <c r="G495" s="26"/>
      <c r="H495" s="26"/>
      <c r="I495" s="26"/>
      <c r="J495" s="873"/>
    </row>
    <row r="496" spans="1:10">
      <c r="A496" s="1095"/>
      <c r="B496" s="26"/>
      <c r="C496" s="26"/>
      <c r="D496" s="26"/>
      <c r="E496" s="26"/>
      <c r="F496" s="26"/>
      <c r="G496" s="26"/>
      <c r="H496" s="26"/>
      <c r="I496" s="26"/>
      <c r="J496" s="873"/>
    </row>
    <row r="497" spans="1:10">
      <c r="A497" s="1095"/>
      <c r="B497" s="26"/>
      <c r="C497" s="26"/>
      <c r="D497" s="26"/>
      <c r="E497" s="26"/>
      <c r="F497" s="26"/>
      <c r="G497" s="26"/>
      <c r="H497" s="26"/>
      <c r="I497" s="26"/>
      <c r="J497" s="873"/>
    </row>
    <row r="498" spans="1:10">
      <c r="A498" s="1095"/>
      <c r="B498" s="26"/>
      <c r="C498" s="26"/>
      <c r="D498" s="26"/>
      <c r="E498" s="26"/>
      <c r="F498" s="26"/>
      <c r="G498" s="26"/>
      <c r="H498" s="26"/>
      <c r="I498" s="26"/>
      <c r="J498" s="873"/>
    </row>
    <row r="499" spans="1:10">
      <c r="A499" s="1095"/>
      <c r="B499" s="26"/>
      <c r="C499" s="26"/>
      <c r="D499" s="26"/>
      <c r="E499" s="26"/>
      <c r="F499" s="26"/>
      <c r="G499" s="26"/>
      <c r="H499" s="26"/>
      <c r="I499" s="26"/>
      <c r="J499" s="873"/>
    </row>
    <row r="500" spans="1:10">
      <c r="A500" s="1095"/>
      <c r="B500" s="26"/>
      <c r="C500" s="26"/>
      <c r="D500" s="26"/>
      <c r="E500" s="26"/>
      <c r="F500" s="26"/>
      <c r="G500" s="26"/>
      <c r="H500" s="26"/>
      <c r="I500" s="26"/>
      <c r="J500" s="873"/>
    </row>
    <row r="501" spans="1:10">
      <c r="A501" s="1095"/>
      <c r="B501" s="26"/>
      <c r="C501" s="26"/>
      <c r="D501" s="26"/>
      <c r="E501" s="26"/>
      <c r="F501" s="26"/>
      <c r="G501" s="26"/>
      <c r="H501" s="26"/>
      <c r="I501" s="26"/>
      <c r="J501" s="873"/>
    </row>
    <row r="502" spans="1:10">
      <c r="A502" s="1095"/>
      <c r="B502" s="26"/>
      <c r="C502" s="26"/>
      <c r="D502" s="26"/>
      <c r="E502" s="26"/>
      <c r="F502" s="26"/>
      <c r="G502" s="26"/>
      <c r="H502" s="26"/>
      <c r="I502" s="26"/>
      <c r="J502" s="873"/>
    </row>
    <row r="503" spans="1:10">
      <c r="A503" s="1095"/>
      <c r="B503" s="26"/>
      <c r="C503" s="26"/>
      <c r="D503" s="26"/>
      <c r="E503" s="26"/>
      <c r="F503" s="26"/>
      <c r="G503" s="26"/>
      <c r="H503" s="26"/>
      <c r="I503" s="26"/>
      <c r="J503" s="873"/>
    </row>
    <row r="504" spans="1:10">
      <c r="A504" s="1095"/>
      <c r="B504" s="26"/>
      <c r="C504" s="26"/>
      <c r="D504" s="26"/>
      <c r="E504" s="26"/>
      <c r="F504" s="26"/>
      <c r="G504" s="26"/>
      <c r="H504" s="26"/>
      <c r="I504" s="26"/>
      <c r="J504" s="873"/>
    </row>
    <row r="505" spans="1:10">
      <c r="A505" s="1095"/>
      <c r="B505" s="26"/>
      <c r="C505" s="26"/>
      <c r="D505" s="26"/>
      <c r="E505" s="26"/>
      <c r="F505" s="26"/>
      <c r="G505" s="26"/>
      <c r="H505" s="26"/>
      <c r="I505" s="26"/>
      <c r="J505" s="873"/>
    </row>
    <row r="506" spans="1:10">
      <c r="A506" s="1095"/>
      <c r="B506" s="26"/>
      <c r="C506" s="26"/>
      <c r="D506" s="26"/>
      <c r="E506" s="26"/>
      <c r="F506" s="26"/>
      <c r="G506" s="26"/>
      <c r="H506" s="26"/>
      <c r="I506" s="26"/>
      <c r="J506" s="873"/>
    </row>
    <row r="507" spans="1:10">
      <c r="A507" s="1095"/>
      <c r="B507" s="26"/>
      <c r="C507" s="26"/>
      <c r="D507" s="26"/>
      <c r="E507" s="26"/>
      <c r="F507" s="26"/>
      <c r="G507" s="26"/>
      <c r="H507" s="26"/>
      <c r="I507" s="26"/>
      <c r="J507" s="873"/>
    </row>
    <row r="508" spans="1:10">
      <c r="A508" s="1095"/>
      <c r="B508" s="26"/>
      <c r="C508" s="26"/>
      <c r="D508" s="26"/>
      <c r="E508" s="26"/>
      <c r="F508" s="26"/>
      <c r="G508" s="26"/>
      <c r="H508" s="26"/>
      <c r="I508" s="26"/>
      <c r="J508" s="873"/>
    </row>
    <row r="509" spans="1:10">
      <c r="A509" s="1095"/>
      <c r="B509" s="26"/>
      <c r="C509" s="26"/>
      <c r="D509" s="26"/>
      <c r="E509" s="26"/>
      <c r="F509" s="26"/>
      <c r="G509" s="26"/>
      <c r="H509" s="26"/>
      <c r="I509" s="26"/>
      <c r="J509" s="873"/>
    </row>
    <row r="510" spans="1:10">
      <c r="A510" s="1095"/>
      <c r="B510" s="26"/>
      <c r="C510" s="26"/>
      <c r="D510" s="26"/>
      <c r="E510" s="26"/>
      <c r="F510" s="26"/>
      <c r="G510" s="26"/>
      <c r="H510" s="26"/>
      <c r="I510" s="26"/>
      <c r="J510" s="873"/>
    </row>
    <row r="511" spans="1:10">
      <c r="A511" s="1095"/>
      <c r="B511" s="26"/>
      <c r="C511" s="26"/>
      <c r="D511" s="26"/>
      <c r="E511" s="26"/>
      <c r="F511" s="26"/>
      <c r="G511" s="26"/>
      <c r="H511" s="26"/>
      <c r="I511" s="26"/>
      <c r="J511" s="873"/>
    </row>
    <row r="512" spans="1:10">
      <c r="A512" s="1095"/>
      <c r="B512" s="26"/>
      <c r="C512" s="26"/>
      <c r="D512" s="26"/>
      <c r="E512" s="26"/>
      <c r="F512" s="26"/>
      <c r="G512" s="26"/>
      <c r="H512" s="26"/>
      <c r="I512" s="26"/>
      <c r="J512" s="873"/>
    </row>
    <row r="513" spans="1:10">
      <c r="A513" s="1095"/>
      <c r="B513" s="26"/>
      <c r="C513" s="26"/>
      <c r="D513" s="26"/>
      <c r="E513" s="26"/>
      <c r="F513" s="26"/>
      <c r="G513" s="26"/>
      <c r="H513" s="26"/>
      <c r="I513" s="26"/>
      <c r="J513" s="873"/>
    </row>
    <row r="514" spans="1:10">
      <c r="A514" s="1095"/>
      <c r="B514" s="26"/>
      <c r="C514" s="26"/>
      <c r="D514" s="26"/>
      <c r="E514" s="26"/>
      <c r="F514" s="26"/>
      <c r="G514" s="26"/>
      <c r="H514" s="26"/>
      <c r="I514" s="26"/>
      <c r="J514" s="873"/>
    </row>
    <row r="515" spans="1:10">
      <c r="A515" s="1095"/>
      <c r="B515" s="26"/>
      <c r="C515" s="26"/>
      <c r="D515" s="26"/>
      <c r="E515" s="26"/>
      <c r="F515" s="26"/>
      <c r="G515" s="26"/>
      <c r="H515" s="26"/>
      <c r="I515" s="26"/>
      <c r="J515" s="873"/>
    </row>
    <row r="516" spans="1:10">
      <c r="A516" s="1095"/>
      <c r="B516" s="26"/>
      <c r="C516" s="26"/>
      <c r="D516" s="26"/>
      <c r="E516" s="26"/>
      <c r="F516" s="26"/>
      <c r="G516" s="26"/>
      <c r="H516" s="26"/>
      <c r="I516" s="26"/>
      <c r="J516" s="873"/>
    </row>
    <row r="517" spans="1:10">
      <c r="A517" s="1095"/>
      <c r="B517" s="26"/>
      <c r="C517" s="26"/>
      <c r="D517" s="26"/>
      <c r="E517" s="26"/>
      <c r="F517" s="26"/>
      <c r="G517" s="26"/>
      <c r="H517" s="26"/>
      <c r="I517" s="26"/>
      <c r="J517" s="873"/>
    </row>
    <row r="518" spans="1:10">
      <c r="A518" s="1095"/>
      <c r="B518" s="26"/>
      <c r="C518" s="26"/>
      <c r="D518" s="26"/>
      <c r="E518" s="26"/>
      <c r="F518" s="26"/>
      <c r="G518" s="26"/>
      <c r="H518" s="26"/>
      <c r="I518" s="26"/>
      <c r="J518" s="873"/>
    </row>
    <row r="519" spans="1:10">
      <c r="A519" s="1095"/>
      <c r="B519" s="26"/>
      <c r="C519" s="26"/>
      <c r="D519" s="26"/>
      <c r="E519" s="26"/>
      <c r="F519" s="26"/>
      <c r="G519" s="26"/>
      <c r="H519" s="26"/>
      <c r="I519" s="26"/>
      <c r="J519" s="873"/>
    </row>
    <row r="520" spans="1:10">
      <c r="A520" s="1095"/>
      <c r="B520" s="26"/>
      <c r="C520" s="26"/>
      <c r="D520" s="26"/>
      <c r="E520" s="26"/>
      <c r="F520" s="26"/>
      <c r="G520" s="26"/>
      <c r="H520" s="26"/>
      <c r="I520" s="26"/>
      <c r="J520" s="873"/>
    </row>
    <row r="521" spans="1:10" ht="17.399999999999999">
      <c r="A521" s="1095"/>
      <c r="B521" s="26"/>
      <c r="C521" s="26"/>
      <c r="D521" s="26"/>
      <c r="E521" s="26"/>
      <c r="F521" s="1107"/>
      <c r="G521" s="26"/>
      <c r="H521" s="26"/>
      <c r="I521" s="26"/>
      <c r="J521" s="873"/>
    </row>
    <row r="522" spans="1:10">
      <c r="A522" s="1095"/>
      <c r="B522" s="26"/>
      <c r="C522" s="26"/>
      <c r="D522" s="26"/>
      <c r="E522" s="26"/>
      <c r="F522" s="26"/>
      <c r="G522" s="26"/>
      <c r="H522" s="26"/>
      <c r="I522" s="26"/>
      <c r="J522" s="873"/>
    </row>
    <row r="523" spans="1:10">
      <c r="A523" s="1095"/>
      <c r="B523" s="26"/>
      <c r="C523" s="26"/>
      <c r="D523" s="26"/>
      <c r="E523" s="26"/>
      <c r="F523" s="26"/>
      <c r="G523" s="26"/>
      <c r="H523" s="26"/>
      <c r="I523" s="26"/>
      <c r="J523" s="873"/>
    </row>
    <row r="524" spans="1:10">
      <c r="A524" s="1095"/>
      <c r="B524" s="26"/>
      <c r="C524" s="26"/>
      <c r="D524" s="26"/>
      <c r="E524" s="26"/>
      <c r="F524" s="26"/>
      <c r="G524" s="26"/>
      <c r="H524" s="26"/>
      <c r="I524" s="26"/>
      <c r="J524" s="873"/>
    </row>
    <row r="525" spans="1:10">
      <c r="A525" s="1095"/>
      <c r="B525" s="26"/>
      <c r="C525" s="26"/>
      <c r="D525" s="26"/>
      <c r="E525" s="26"/>
      <c r="F525" s="26"/>
      <c r="G525" s="26"/>
      <c r="H525" s="26"/>
      <c r="I525" s="26"/>
      <c r="J525" s="873"/>
    </row>
    <row r="526" spans="1:10">
      <c r="A526" s="1095"/>
      <c r="B526" s="26"/>
      <c r="C526" s="26"/>
      <c r="D526" s="26"/>
      <c r="E526" s="26"/>
      <c r="F526" s="26"/>
      <c r="G526" s="26"/>
      <c r="H526" s="26"/>
      <c r="I526" s="26"/>
      <c r="J526" s="873"/>
    </row>
    <row r="527" spans="1:10">
      <c r="A527" s="1095"/>
      <c r="B527" s="26"/>
      <c r="C527" s="26"/>
      <c r="D527" s="26"/>
      <c r="E527" s="26"/>
      <c r="F527" s="26"/>
      <c r="G527" s="26"/>
      <c r="H527" s="26"/>
      <c r="I527" s="26"/>
      <c r="J527" s="873"/>
    </row>
    <row r="528" spans="1:10">
      <c r="A528" s="1095"/>
      <c r="B528" s="26"/>
      <c r="C528" s="26"/>
      <c r="D528" s="26"/>
      <c r="E528" s="26"/>
      <c r="F528" s="26"/>
      <c r="G528" s="26"/>
      <c r="H528" s="26"/>
      <c r="I528" s="26"/>
      <c r="J528" s="873"/>
    </row>
    <row r="529" spans="1:10">
      <c r="A529" s="1095"/>
      <c r="B529" s="26"/>
      <c r="C529" s="26"/>
      <c r="D529" s="26"/>
      <c r="E529" s="26"/>
      <c r="F529" s="26"/>
      <c r="G529" s="26"/>
      <c r="H529" s="26"/>
      <c r="I529" s="26"/>
      <c r="J529" s="873"/>
    </row>
    <row r="530" spans="1:10">
      <c r="A530" s="1095"/>
      <c r="B530" s="26"/>
      <c r="C530" s="26"/>
      <c r="D530" s="26"/>
      <c r="E530" s="26"/>
      <c r="F530" s="26"/>
      <c r="G530" s="26"/>
      <c r="H530" s="26"/>
      <c r="I530" s="26"/>
      <c r="J530" s="873"/>
    </row>
    <row r="531" spans="1:10">
      <c r="A531" s="1095"/>
      <c r="B531" s="26"/>
      <c r="C531" s="26"/>
      <c r="D531" s="26"/>
      <c r="E531" s="26"/>
      <c r="F531" s="26"/>
      <c r="G531" s="26"/>
      <c r="H531" s="26"/>
      <c r="I531" s="26"/>
      <c r="J531" s="873"/>
    </row>
    <row r="532" spans="1:10">
      <c r="A532" s="1095"/>
      <c r="B532" s="26"/>
      <c r="C532" s="26"/>
      <c r="D532" s="26"/>
      <c r="E532" s="26"/>
      <c r="F532" s="26"/>
      <c r="G532" s="26"/>
      <c r="H532" s="26"/>
      <c r="I532" s="26"/>
      <c r="J532" s="873"/>
    </row>
    <row r="533" spans="1:10">
      <c r="A533" s="1095"/>
      <c r="B533" s="26"/>
      <c r="C533" s="26"/>
      <c r="D533" s="26"/>
      <c r="E533" s="26"/>
      <c r="F533" s="26"/>
      <c r="G533" s="26"/>
      <c r="H533" s="26"/>
      <c r="I533" s="26"/>
      <c r="J533" s="873"/>
    </row>
    <row r="534" spans="1:10">
      <c r="A534" s="1095"/>
      <c r="B534" s="26"/>
      <c r="C534" s="26"/>
      <c r="D534" s="26"/>
      <c r="E534" s="26"/>
      <c r="F534" s="26"/>
      <c r="G534" s="26"/>
      <c r="H534" s="26"/>
      <c r="I534" s="26"/>
      <c r="J534" s="873"/>
    </row>
    <row r="535" spans="1:10">
      <c r="A535" s="1095"/>
      <c r="B535" s="26"/>
      <c r="C535" s="26"/>
      <c r="D535" s="26"/>
      <c r="E535" s="26"/>
      <c r="F535" s="26"/>
      <c r="G535" s="26"/>
      <c r="H535" s="26"/>
      <c r="I535" s="26"/>
      <c r="J535" s="873"/>
    </row>
    <row r="536" spans="1:10">
      <c r="A536" s="1095"/>
      <c r="B536" s="26"/>
      <c r="C536" s="26"/>
      <c r="D536" s="26"/>
      <c r="E536" s="26"/>
      <c r="F536" s="26"/>
      <c r="G536" s="26"/>
      <c r="H536" s="26"/>
      <c r="I536" s="26"/>
      <c r="J536" s="873"/>
    </row>
    <row r="537" spans="1:10">
      <c r="A537" s="1095"/>
      <c r="B537" s="26"/>
      <c r="C537" s="26"/>
      <c r="D537" s="26"/>
      <c r="E537" s="26"/>
      <c r="F537" s="26"/>
      <c r="G537" s="26"/>
      <c r="H537" s="26"/>
      <c r="I537" s="26"/>
      <c r="J537" s="873"/>
    </row>
    <row r="538" spans="1:10">
      <c r="A538" s="1095"/>
      <c r="B538" s="26"/>
      <c r="C538" s="26"/>
      <c r="D538" s="26"/>
      <c r="E538" s="26"/>
      <c r="F538" s="26"/>
      <c r="G538" s="26"/>
      <c r="H538" s="26"/>
      <c r="I538" s="26"/>
      <c r="J538" s="873"/>
    </row>
    <row r="539" spans="1:10">
      <c r="A539" s="1095"/>
      <c r="B539" s="26"/>
      <c r="C539" s="26"/>
      <c r="D539" s="26"/>
      <c r="E539" s="26"/>
      <c r="F539" s="26"/>
      <c r="G539" s="26"/>
      <c r="H539" s="26"/>
      <c r="I539" s="26"/>
      <c r="J539" s="873"/>
    </row>
    <row r="540" spans="1:10">
      <c r="A540" s="1095"/>
      <c r="B540" s="26"/>
      <c r="C540" s="26"/>
      <c r="D540" s="26"/>
      <c r="E540" s="26"/>
      <c r="F540" s="26"/>
      <c r="G540" s="26"/>
      <c r="H540" s="26"/>
      <c r="I540" s="26"/>
      <c r="J540" s="873"/>
    </row>
    <row r="541" spans="1:10">
      <c r="A541" s="1095"/>
      <c r="B541" s="26"/>
      <c r="C541" s="26"/>
      <c r="D541" s="26"/>
      <c r="E541" s="26"/>
      <c r="F541" s="26"/>
      <c r="G541" s="26"/>
      <c r="H541" s="26"/>
      <c r="I541" s="26"/>
      <c r="J541" s="873"/>
    </row>
    <row r="542" spans="1:10">
      <c r="A542" s="1095"/>
      <c r="B542" s="26"/>
      <c r="C542" s="26"/>
      <c r="D542" s="26"/>
      <c r="E542" s="26"/>
      <c r="F542" s="26"/>
      <c r="G542" s="26"/>
      <c r="H542" s="26"/>
      <c r="I542" s="26"/>
      <c r="J542" s="873"/>
    </row>
    <row r="543" spans="1:10">
      <c r="A543" s="1095"/>
      <c r="B543" s="26"/>
      <c r="C543" s="26"/>
      <c r="D543" s="26"/>
      <c r="E543" s="26"/>
      <c r="F543" s="26"/>
      <c r="G543" s="26"/>
      <c r="H543" s="26"/>
      <c r="I543" s="26"/>
      <c r="J543" s="873"/>
    </row>
    <row r="544" spans="1:10">
      <c r="A544" s="1095"/>
      <c r="B544" s="26"/>
      <c r="C544" s="26"/>
      <c r="D544" s="26"/>
      <c r="E544" s="26"/>
      <c r="F544" s="26"/>
      <c r="G544" s="26"/>
      <c r="H544" s="26"/>
      <c r="I544" s="26"/>
      <c r="J544" s="873"/>
    </row>
    <row r="545" spans="1:10">
      <c r="A545" s="1095"/>
      <c r="B545" s="26"/>
      <c r="C545" s="26"/>
      <c r="D545" s="26"/>
      <c r="E545" s="26"/>
      <c r="F545" s="26"/>
      <c r="G545" s="26"/>
      <c r="H545" s="26"/>
      <c r="I545" s="26"/>
      <c r="J545" s="873"/>
    </row>
    <row r="546" spans="1:10">
      <c r="A546" s="1095"/>
      <c r="B546" s="26"/>
      <c r="C546" s="26"/>
      <c r="D546" s="26"/>
      <c r="E546" s="26"/>
      <c r="F546" s="26"/>
      <c r="G546" s="26"/>
      <c r="H546" s="26"/>
      <c r="I546" s="26"/>
      <c r="J546" s="873"/>
    </row>
    <row r="547" spans="1:10">
      <c r="A547" s="1095"/>
      <c r="B547" s="26"/>
      <c r="C547" s="26"/>
      <c r="D547" s="26"/>
      <c r="E547" s="26"/>
      <c r="F547" s="26"/>
      <c r="G547" s="26"/>
      <c r="H547" s="26"/>
      <c r="I547" s="26"/>
      <c r="J547" s="873"/>
    </row>
    <row r="548" spans="1:10">
      <c r="A548" s="1095"/>
      <c r="B548" s="26"/>
      <c r="C548" s="26"/>
      <c r="D548" s="26"/>
      <c r="E548" s="26"/>
      <c r="F548" s="26"/>
      <c r="G548" s="26"/>
      <c r="H548" s="26"/>
      <c r="I548" s="26"/>
      <c r="J548" s="873"/>
    </row>
    <row r="549" spans="1:10">
      <c r="A549" s="1095"/>
      <c r="B549" s="26"/>
      <c r="C549" s="26"/>
      <c r="D549" s="26"/>
      <c r="E549" s="26"/>
      <c r="F549" s="26"/>
      <c r="G549" s="26"/>
      <c r="H549" s="26"/>
      <c r="I549" s="26"/>
      <c r="J549" s="873"/>
    </row>
    <row r="550" spans="1:10">
      <c r="A550" s="1095"/>
      <c r="B550" s="26"/>
      <c r="C550" s="26"/>
      <c r="D550" s="26"/>
      <c r="E550" s="26"/>
      <c r="F550" s="26"/>
      <c r="G550" s="26"/>
      <c r="H550" s="26"/>
      <c r="I550" s="26"/>
      <c r="J550" s="873"/>
    </row>
    <row r="551" spans="1:10">
      <c r="A551" s="1095"/>
      <c r="B551" s="26"/>
      <c r="C551" s="26"/>
      <c r="D551" s="26"/>
      <c r="E551" s="26"/>
      <c r="F551" s="26"/>
      <c r="G551" s="26"/>
      <c r="H551" s="26"/>
      <c r="I551" s="26"/>
      <c r="J551" s="873"/>
    </row>
    <row r="552" spans="1:10">
      <c r="A552" s="1095"/>
      <c r="B552" s="26"/>
      <c r="C552" s="26"/>
      <c r="D552" s="26"/>
      <c r="E552" s="26"/>
      <c r="F552" s="26"/>
      <c r="G552" s="26"/>
      <c r="H552" s="26"/>
      <c r="I552" s="26"/>
      <c r="J552" s="873"/>
    </row>
    <row r="553" spans="1:10">
      <c r="A553" s="1095"/>
      <c r="B553" s="26"/>
      <c r="C553" s="26"/>
      <c r="D553" s="26"/>
      <c r="E553" s="26"/>
      <c r="F553" s="26"/>
      <c r="G553" s="26"/>
      <c r="H553" s="26"/>
      <c r="I553" s="26"/>
      <c r="J553" s="873"/>
    </row>
    <row r="554" spans="1:10">
      <c r="A554" s="1095"/>
      <c r="B554" s="26"/>
      <c r="C554" s="26"/>
      <c r="D554" s="26"/>
      <c r="E554" s="26"/>
      <c r="F554" s="26"/>
      <c r="G554" s="26"/>
      <c r="H554" s="26"/>
      <c r="I554" s="26"/>
      <c r="J554" s="873"/>
    </row>
    <row r="555" spans="1:10">
      <c r="A555" s="1095"/>
      <c r="B555" s="26"/>
      <c r="C555" s="26"/>
      <c r="D555" s="26"/>
      <c r="E555" s="26"/>
      <c r="F555" s="26"/>
      <c r="G555" s="26"/>
      <c r="H555" s="26"/>
      <c r="I555" s="26"/>
      <c r="J555" s="873"/>
    </row>
    <row r="556" spans="1:10">
      <c r="A556" s="1095"/>
      <c r="B556" s="26"/>
      <c r="C556" s="26"/>
      <c r="D556" s="26"/>
      <c r="E556" s="26"/>
      <c r="F556" s="26"/>
      <c r="G556" s="26"/>
      <c r="H556" s="26"/>
      <c r="I556" s="26"/>
      <c r="J556" s="873"/>
    </row>
    <row r="557" spans="1:10">
      <c r="A557" s="1095"/>
      <c r="B557" s="26"/>
      <c r="C557" s="26"/>
      <c r="D557" s="26"/>
      <c r="E557" s="26"/>
      <c r="F557" s="26"/>
      <c r="G557" s="26"/>
      <c r="H557" s="26"/>
      <c r="I557" s="26"/>
      <c r="J557" s="873"/>
    </row>
    <row r="558" spans="1:10">
      <c r="A558" s="1095"/>
      <c r="B558" s="26"/>
      <c r="C558" s="26"/>
      <c r="D558" s="26"/>
      <c r="E558" s="26"/>
      <c r="F558" s="26"/>
      <c r="G558" s="26"/>
      <c r="H558" s="26"/>
      <c r="I558" s="26"/>
      <c r="J558" s="873"/>
    </row>
    <row r="559" spans="1:10">
      <c r="A559" s="1095"/>
      <c r="B559" s="26"/>
      <c r="C559" s="26"/>
      <c r="D559" s="26"/>
      <c r="E559" s="26"/>
      <c r="F559" s="26"/>
      <c r="G559" s="26"/>
      <c r="H559" s="26"/>
      <c r="I559" s="26"/>
      <c r="J559" s="873"/>
    </row>
    <row r="560" spans="1:10">
      <c r="A560" s="1095"/>
      <c r="B560" s="26"/>
      <c r="C560" s="26"/>
      <c r="D560" s="26"/>
      <c r="E560" s="26"/>
      <c r="F560" s="26"/>
      <c r="G560" s="26"/>
      <c r="H560" s="26"/>
      <c r="I560" s="26"/>
      <c r="J560" s="873"/>
    </row>
    <row r="561" spans="1:10">
      <c r="A561" s="1095"/>
      <c r="B561" s="26"/>
      <c r="C561" s="26"/>
      <c r="D561" s="26"/>
      <c r="E561" s="26"/>
      <c r="F561" s="26"/>
      <c r="G561" s="26"/>
      <c r="H561" s="26"/>
      <c r="I561" s="26"/>
      <c r="J561" s="873"/>
    </row>
    <row r="562" spans="1:10">
      <c r="A562" s="1095"/>
      <c r="B562" s="26"/>
      <c r="C562" s="26"/>
      <c r="D562" s="26"/>
      <c r="E562" s="26"/>
      <c r="F562" s="26"/>
      <c r="G562" s="26"/>
      <c r="H562" s="26"/>
      <c r="I562" s="26"/>
      <c r="J562" s="873"/>
    </row>
    <row r="563" spans="1:10">
      <c r="A563" s="1095"/>
      <c r="B563" s="26"/>
      <c r="C563" s="26"/>
      <c r="D563" s="26"/>
      <c r="E563" s="26"/>
      <c r="F563" s="26"/>
      <c r="G563" s="26"/>
      <c r="H563" s="26"/>
      <c r="I563" s="26"/>
      <c r="J563" s="873"/>
    </row>
    <row r="564" spans="1:10">
      <c r="A564" s="1095"/>
      <c r="B564" s="26"/>
      <c r="C564" s="26"/>
      <c r="D564" s="26"/>
      <c r="E564" s="26"/>
      <c r="F564" s="26"/>
      <c r="G564" s="26"/>
      <c r="H564" s="26"/>
      <c r="I564" s="26"/>
      <c r="J564" s="873"/>
    </row>
    <row r="565" spans="1:10">
      <c r="A565" s="1095"/>
      <c r="B565" s="26"/>
      <c r="C565" s="26"/>
      <c r="D565" s="26"/>
      <c r="E565" s="26"/>
      <c r="F565" s="26"/>
      <c r="G565" s="26"/>
      <c r="H565" s="26"/>
      <c r="I565" s="26"/>
      <c r="J565" s="873"/>
    </row>
    <row r="566" spans="1:10">
      <c r="A566" s="1095"/>
      <c r="B566" s="26"/>
      <c r="C566" s="26"/>
      <c r="D566" s="26"/>
      <c r="E566" s="26"/>
      <c r="F566" s="26"/>
      <c r="G566" s="26"/>
      <c r="H566" s="26"/>
      <c r="I566" s="26"/>
      <c r="J566" s="873"/>
    </row>
    <row r="567" spans="1:10">
      <c r="A567" s="1095"/>
      <c r="B567" s="26"/>
      <c r="C567" s="26"/>
      <c r="D567" s="26"/>
      <c r="E567" s="26"/>
      <c r="F567" s="26"/>
      <c r="G567" s="26"/>
      <c r="H567" s="26"/>
      <c r="I567" s="26"/>
      <c r="J567" s="873"/>
    </row>
    <row r="568" spans="1:10">
      <c r="A568" s="1095"/>
      <c r="B568" s="26"/>
      <c r="C568" s="26"/>
      <c r="D568" s="26"/>
      <c r="E568" s="26"/>
      <c r="F568" s="26"/>
      <c r="G568" s="26"/>
      <c r="H568" s="26"/>
      <c r="I568" s="26"/>
      <c r="J568" s="873"/>
    </row>
    <row r="569" spans="1:10">
      <c r="A569" s="1096"/>
      <c r="B569" s="874"/>
      <c r="C569" s="874"/>
      <c r="D569" s="874"/>
      <c r="E569" s="874"/>
      <c r="F569" s="874"/>
      <c r="G569" s="874"/>
      <c r="H569" s="874"/>
      <c r="I569" s="874"/>
      <c r="J569" s="911"/>
    </row>
  </sheetData>
  <sheetProtection password="CEBA" sheet="1" objects="1" scenarios="1"/>
  <hyperlinks>
    <hyperlink ref="F38" r:id="rId1" display="https://www.youtube.com/watch?v=F8WBMhnJogk        3,5 min"/>
    <hyperlink ref="F98" r:id="rId2"/>
    <hyperlink ref="F39" r:id="rId3"/>
    <hyperlink ref="B74" r:id="rId4"/>
    <hyperlink ref="D380" r:id="rId5" display="https://www.youtube.com/watch?v=-IRGN7Q62rs"/>
    <hyperlink ref="I141" r:id="rId6"/>
    <hyperlink ref="B224" r:id="rId7" display="https://www.youtube.com/watch?v=zzyp1IHFSQ8"/>
  </hyperlinks>
  <pageMargins left="0" right="0" top="0" bottom="0" header="0" footer="0"/>
  <pageSetup paperSize="9" orientation="landscape" r:id="rId8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1"/>
  <sheetViews>
    <sheetView zoomScaleNormal="100" workbookViewId="0">
      <selection activeCell="K525" sqref="K525"/>
    </sheetView>
  </sheetViews>
  <sheetFormatPr baseColWidth="10" defaultRowHeight="14.4"/>
  <cols>
    <col min="1" max="1" width="0.5546875" style="27" customWidth="1"/>
    <col min="2" max="2" width="68.44140625" style="691" customWidth="1"/>
    <col min="3" max="3" width="7.109375" customWidth="1"/>
    <col min="4" max="4" width="12.44140625" customWidth="1"/>
    <col min="5" max="5" width="7.109375" customWidth="1"/>
    <col min="6" max="6" width="4.77734375" customWidth="1"/>
    <col min="7" max="7" width="43.44140625" customWidth="1"/>
    <col min="8" max="8" width="0.5546875" customWidth="1"/>
    <col min="9" max="9" width="1.6640625" customWidth="1"/>
    <col min="10" max="10" width="11.44140625" style="692"/>
    <col min="11" max="11" width="14.6640625" bestFit="1" customWidth="1"/>
  </cols>
  <sheetData>
    <row r="1" spans="1:14" s="1" customFormat="1" ht="17.399999999999999">
      <c r="A1" s="2442" t="s">
        <v>2943</v>
      </c>
      <c r="B1" s="821" t="s">
        <v>2810</v>
      </c>
      <c r="C1" s="562"/>
      <c r="D1" s="562"/>
      <c r="E1" s="562"/>
      <c r="F1" s="562"/>
      <c r="G1" s="567"/>
      <c r="H1" s="487" t="s">
        <v>2793</v>
      </c>
      <c r="J1" s="692"/>
    </row>
    <row r="2" spans="1:14" s="1" customFormat="1" ht="13.8">
      <c r="A2" s="429"/>
      <c r="B2" s="952"/>
      <c r="C2" s="341"/>
      <c r="D2" s="341"/>
      <c r="E2" s="341"/>
      <c r="F2" s="341"/>
      <c r="G2" s="341"/>
      <c r="H2" s="563"/>
      <c r="J2" s="1522"/>
    </row>
    <row r="3" spans="1:14" s="1" customFormat="1">
      <c r="A3" s="429"/>
      <c r="B3" s="105" t="s">
        <v>2069</v>
      </c>
      <c r="C3" s="343"/>
      <c r="D3" s="343"/>
      <c r="E3" s="122"/>
      <c r="F3" s="343"/>
      <c r="G3" s="344" t="s">
        <v>536</v>
      </c>
      <c r="H3" s="433"/>
      <c r="J3" s="1529"/>
      <c r="K3" s="1280"/>
      <c r="L3" s="1280"/>
      <c r="M3" s="1280"/>
    </row>
    <row r="4" spans="1:14" s="1" customFormat="1">
      <c r="A4" s="429"/>
      <c r="B4" s="664" t="s">
        <v>1381</v>
      </c>
      <c r="C4" s="343"/>
      <c r="D4" s="184"/>
      <c r="E4" s="343"/>
      <c r="F4" s="343"/>
      <c r="G4" s="48"/>
      <c r="H4" s="433"/>
      <c r="I4" s="76"/>
      <c r="J4" s="692"/>
      <c r="K4"/>
    </row>
    <row r="5" spans="1:14" s="1" customFormat="1">
      <c r="A5" s="429"/>
      <c r="B5" s="664" t="s">
        <v>2813</v>
      </c>
      <c r="C5" s="343"/>
      <c r="D5" s="341"/>
      <c r="E5" s="341"/>
      <c r="F5" s="341"/>
      <c r="G5" s="355"/>
      <c r="H5" s="433"/>
      <c r="I5" s="76"/>
      <c r="J5" s="692"/>
    </row>
    <row r="6" spans="1:14" s="1" customFormat="1">
      <c r="A6" s="429"/>
      <c r="B6" s="664" t="s">
        <v>2819</v>
      </c>
      <c r="C6" s="343"/>
      <c r="D6" s="343"/>
      <c r="E6" s="122"/>
      <c r="F6" s="343"/>
      <c r="G6" s="345" t="s">
        <v>538</v>
      </c>
      <c r="H6" s="433"/>
      <c r="I6" s="76"/>
      <c r="J6" s="695"/>
    </row>
    <row r="7" spans="1:14" s="1" customFormat="1" ht="14.4" customHeight="1">
      <c r="A7" s="429"/>
      <c r="B7" s="664" t="s">
        <v>2811</v>
      </c>
      <c r="C7" s="343"/>
      <c r="D7" s="184"/>
      <c r="E7" s="343"/>
      <c r="F7" s="343"/>
      <c r="G7" s="356"/>
      <c r="H7" s="433"/>
      <c r="I7" s="76"/>
      <c r="J7" s="697"/>
    </row>
    <row r="8" spans="1:14" s="1" customFormat="1">
      <c r="A8" s="429"/>
      <c r="B8" s="664" t="s">
        <v>2812</v>
      </c>
      <c r="C8" s="343"/>
      <c r="D8" s="341"/>
      <c r="E8" s="341"/>
      <c r="F8" s="341"/>
      <c r="G8" s="355"/>
      <c r="H8" s="433"/>
      <c r="I8" s="76"/>
      <c r="J8" s="692"/>
    </row>
    <row r="9" spans="1:14" s="1" customFormat="1">
      <c r="A9" s="429"/>
      <c r="B9" s="664" t="s">
        <v>1714</v>
      </c>
      <c r="C9" s="343"/>
      <c r="D9" s="341"/>
      <c r="E9" s="341"/>
      <c r="F9" s="341"/>
      <c r="G9" s="344" t="s">
        <v>537</v>
      </c>
      <c r="H9" s="433"/>
      <c r="I9" s="76"/>
      <c r="J9" s="692"/>
      <c r="K9"/>
    </row>
    <row r="10" spans="1:14" s="1" customFormat="1" ht="13.8">
      <c r="A10" s="429"/>
      <c r="B10" s="664" t="s">
        <v>2949</v>
      </c>
      <c r="C10" s="343"/>
      <c r="D10" s="343"/>
      <c r="E10" s="343"/>
      <c r="F10" s="343"/>
      <c r="G10" s="356"/>
      <c r="H10" s="433"/>
      <c r="I10" s="76"/>
      <c r="J10" s="1522"/>
    </row>
    <row r="11" spans="1:14" s="1" customFormat="1">
      <c r="A11" s="429"/>
      <c r="B11" s="664" t="s">
        <v>2950</v>
      </c>
      <c r="C11" s="343"/>
      <c r="D11" s="343"/>
      <c r="E11" s="343"/>
      <c r="F11" s="343"/>
      <c r="G11" s="49"/>
      <c r="H11" s="433"/>
      <c r="I11" s="5"/>
      <c r="J11" s="1529"/>
      <c r="K11" s="1280"/>
      <c r="L11" s="1280"/>
      <c r="M11" s="1280"/>
      <c r="N11" s="1279"/>
    </row>
    <row r="12" spans="1:14" s="1" customFormat="1" ht="16.8" customHeight="1">
      <c r="A12" s="429"/>
      <c r="B12" s="2449" t="s">
        <v>2946</v>
      </c>
      <c r="C12" s="343"/>
      <c r="D12" s="343"/>
      <c r="E12" s="343"/>
      <c r="F12" s="343"/>
      <c r="G12" s="342"/>
      <c r="H12" s="433"/>
      <c r="J12" s="692"/>
    </row>
    <row r="13" spans="1:14" s="1" customFormat="1">
      <c r="A13" s="429"/>
      <c r="B13" s="2447" t="s">
        <v>326</v>
      </c>
      <c r="C13" s="343"/>
      <c r="D13" s="569" t="s">
        <v>1378</v>
      </c>
      <c r="E13" s="343"/>
      <c r="F13" s="343"/>
      <c r="G13" s="344" t="s">
        <v>1863</v>
      </c>
      <c r="H13" s="433"/>
      <c r="J13" s="692"/>
    </row>
    <row r="14" spans="1:14" s="1" customFormat="1">
      <c r="A14" s="429"/>
      <c r="B14" s="1392" t="s">
        <v>1861</v>
      </c>
      <c r="C14" s="343"/>
      <c r="D14" s="569" t="s">
        <v>1379</v>
      </c>
      <c r="E14" s="343"/>
      <c r="F14" s="570"/>
      <c r="G14" s="48"/>
      <c r="H14" s="433"/>
      <c r="J14" s="692"/>
    </row>
    <row r="15" spans="1:14" s="1" customFormat="1">
      <c r="A15" s="429"/>
      <c r="B15" s="1393" t="s">
        <v>2951</v>
      </c>
      <c r="C15" s="343"/>
      <c r="D15" s="346"/>
      <c r="E15" s="343"/>
      <c r="F15" s="343"/>
      <c r="G15" s="49"/>
      <c r="H15" s="433"/>
      <c r="J15" s="692"/>
    </row>
    <row r="16" spans="1:14" s="1" customFormat="1" ht="15">
      <c r="A16" s="429"/>
      <c r="B16" s="2450" t="s">
        <v>2952</v>
      </c>
      <c r="C16" s="343"/>
      <c r="D16" s="343"/>
      <c r="E16" s="343"/>
      <c r="F16" s="343"/>
      <c r="G16" s="343"/>
      <c r="H16" s="433"/>
      <c r="J16" s="692"/>
      <c r="K16" s="53"/>
      <c r="L16"/>
      <c r="M16"/>
    </row>
    <row r="17" spans="1:13" s="1" customFormat="1">
      <c r="A17" s="429"/>
      <c r="B17" s="1395" t="s">
        <v>1862</v>
      </c>
      <c r="C17" s="111"/>
      <c r="D17" s="341"/>
      <c r="E17" s="99"/>
      <c r="F17" s="343"/>
      <c r="G17" s="345" t="s">
        <v>1864</v>
      </c>
      <c r="H17" s="433"/>
      <c r="J17" s="692"/>
    </row>
    <row r="18" spans="1:13" s="1" customFormat="1" ht="15.6">
      <c r="A18" s="429"/>
      <c r="B18" s="1394" t="s">
        <v>1848</v>
      </c>
      <c r="C18" s="343"/>
      <c r="D18" s="341"/>
      <c r="E18" s="343"/>
      <c r="F18" s="570"/>
      <c r="G18" s="50"/>
      <c r="H18" s="433"/>
      <c r="J18" s="692"/>
      <c r="L18"/>
    </row>
    <row r="19" spans="1:13" s="1" customFormat="1" ht="15.6">
      <c r="A19" s="429"/>
      <c r="B19" s="1394" t="s">
        <v>1847</v>
      </c>
      <c r="C19" s="343"/>
      <c r="D19" s="341"/>
      <c r="E19" s="110"/>
      <c r="F19" s="343"/>
      <c r="G19" s="49"/>
      <c r="H19" s="433"/>
      <c r="J19" s="692"/>
      <c r="L19" s="2446"/>
      <c r="M19"/>
    </row>
    <row r="20" spans="1:13" s="1" customFormat="1">
      <c r="A20" s="429"/>
      <c r="B20" s="1394" t="s">
        <v>1844</v>
      </c>
      <c r="C20" s="343"/>
      <c r="D20" s="341"/>
      <c r="E20" s="343"/>
      <c r="F20" s="343"/>
      <c r="G20" s="343"/>
      <c r="H20" s="433"/>
      <c r="J20" s="692"/>
      <c r="M20"/>
    </row>
    <row r="21" spans="1:13" s="1" customFormat="1" ht="15.6">
      <c r="A21" s="429"/>
      <c r="B21" s="1394" t="s">
        <v>1849</v>
      </c>
      <c r="C21" s="343"/>
      <c r="D21" s="341"/>
      <c r="E21" s="343"/>
      <c r="F21" s="341"/>
      <c r="G21" s="341"/>
      <c r="H21" s="433"/>
      <c r="J21" s="692"/>
      <c r="L21"/>
      <c r="M21"/>
    </row>
    <row r="22" spans="1:13" s="1" customFormat="1">
      <c r="A22" s="429"/>
      <c r="B22" s="1395" t="s">
        <v>2814</v>
      </c>
      <c r="C22" s="343"/>
      <c r="D22" s="341"/>
      <c r="E22" s="343"/>
      <c r="F22" s="341"/>
      <c r="G22" s="341"/>
      <c r="H22" s="433"/>
      <c r="J22" s="692"/>
      <c r="L22"/>
      <c r="M22"/>
    </row>
    <row r="23" spans="1:13" s="1" customFormat="1">
      <c r="A23" s="429"/>
      <c r="B23" s="1394" t="s">
        <v>1845</v>
      </c>
      <c r="C23" s="343"/>
      <c r="D23" s="343"/>
      <c r="E23" s="343"/>
      <c r="F23" s="343"/>
      <c r="G23" s="345" t="s">
        <v>1865</v>
      </c>
      <c r="H23" s="433"/>
      <c r="J23" s="692"/>
      <c r="K23" s="7"/>
    </row>
    <row r="24" spans="1:13" s="1" customFormat="1" ht="15.6">
      <c r="A24" s="429"/>
      <c r="B24" s="1394" t="s">
        <v>1383</v>
      </c>
      <c r="C24" s="343"/>
      <c r="D24" s="341"/>
      <c r="E24" s="343"/>
      <c r="F24" s="343"/>
      <c r="G24" s="357" t="s">
        <v>556</v>
      </c>
      <c r="H24" s="433"/>
      <c r="J24" s="692"/>
    </row>
    <row r="25" spans="1:13" s="1" customFormat="1" ht="15.6">
      <c r="A25" s="429"/>
      <c r="B25" s="1396" t="s">
        <v>1382</v>
      </c>
      <c r="C25" s="343"/>
      <c r="D25" s="571" t="s">
        <v>2947</v>
      </c>
      <c r="E25" s="343"/>
      <c r="F25" s="570"/>
      <c r="G25" s="50"/>
      <c r="H25" s="433"/>
      <c r="J25" s="692"/>
      <c r="L25"/>
    </row>
    <row r="26" spans="1:13" s="1" customFormat="1" ht="16.8" customHeight="1">
      <c r="A26" s="429"/>
      <c r="B26" s="2448" t="s">
        <v>2945</v>
      </c>
      <c r="C26" s="343"/>
      <c r="D26" s="1882" t="s">
        <v>2948</v>
      </c>
      <c r="E26" s="343"/>
      <c r="F26" s="343"/>
      <c r="G26" s="49"/>
      <c r="H26" s="433"/>
      <c r="J26" s="692"/>
    </row>
    <row r="27" spans="1:13" s="1" customFormat="1">
      <c r="A27" s="429"/>
      <c r="B27" s="344" t="s">
        <v>327</v>
      </c>
      <c r="C27" s="343"/>
      <c r="D27" s="341"/>
      <c r="E27" s="343"/>
      <c r="F27" s="343"/>
      <c r="G27" s="343"/>
      <c r="H27" s="433"/>
      <c r="J27" s="692"/>
      <c r="L27"/>
    </row>
    <row r="28" spans="1:13" s="1" customFormat="1">
      <c r="A28" s="429"/>
      <c r="B28" s="344" t="s">
        <v>328</v>
      </c>
      <c r="C28" s="343"/>
      <c r="D28" s="341"/>
      <c r="E28" s="343"/>
      <c r="F28" s="343"/>
      <c r="G28" s="345" t="s">
        <v>319</v>
      </c>
      <c r="H28" s="433"/>
      <c r="J28" s="692"/>
      <c r="L28"/>
    </row>
    <row r="29" spans="1:13" s="1" customFormat="1">
      <c r="A29" s="429"/>
      <c r="B29" s="343" t="s">
        <v>1384</v>
      </c>
      <c r="C29" s="343"/>
      <c r="D29" s="341"/>
      <c r="E29" s="343"/>
      <c r="F29" s="343"/>
      <c r="G29" s="51"/>
      <c r="H29" s="433"/>
      <c r="J29" s="692"/>
    </row>
    <row r="30" spans="1:13" s="1" customFormat="1" ht="15.6">
      <c r="A30" s="429"/>
      <c r="B30" s="343" t="s">
        <v>1385</v>
      </c>
      <c r="C30" s="343"/>
      <c r="D30" s="341"/>
      <c r="E30" s="343"/>
      <c r="F30" s="343"/>
      <c r="G30" s="48"/>
      <c r="H30" s="433"/>
      <c r="J30" s="692"/>
    </row>
    <row r="31" spans="1:13" s="1" customFormat="1">
      <c r="A31" s="429"/>
      <c r="B31" s="343" t="s">
        <v>1387</v>
      </c>
      <c r="C31" s="343"/>
      <c r="D31" s="341"/>
      <c r="E31" s="343"/>
      <c r="F31" s="343"/>
      <c r="G31" s="52"/>
      <c r="H31" s="433"/>
      <c r="J31" s="692"/>
    </row>
    <row r="32" spans="1:13" s="1" customFormat="1">
      <c r="A32" s="429"/>
      <c r="B32" s="343" t="s">
        <v>1386</v>
      </c>
      <c r="C32" s="223"/>
      <c r="D32" s="341"/>
      <c r="E32" s="236"/>
      <c r="F32" s="223"/>
      <c r="G32" s="343"/>
      <c r="H32" s="433"/>
      <c r="J32" s="692"/>
    </row>
    <row r="33" spans="1:13" s="1" customFormat="1">
      <c r="A33" s="429"/>
      <c r="B33" s="343"/>
      <c r="C33" s="223"/>
      <c r="D33" s="341"/>
      <c r="E33" s="236"/>
      <c r="F33" s="223"/>
      <c r="G33" s="343" t="s">
        <v>1867</v>
      </c>
      <c r="H33" s="433"/>
      <c r="J33" s="692"/>
    </row>
    <row r="34" spans="1:13" s="1" customFormat="1">
      <c r="A34" s="429"/>
      <c r="B34" s="184" t="s">
        <v>2815</v>
      </c>
      <c r="C34" s="223"/>
      <c r="D34" s="341"/>
      <c r="E34" s="236"/>
      <c r="F34" s="223"/>
      <c r="G34" s="343"/>
      <c r="H34" s="433"/>
      <c r="J34" s="692"/>
    </row>
    <row r="35" spans="1:13" s="1" customFormat="1" ht="12.6" customHeight="1">
      <c r="A35" s="429"/>
      <c r="B35" s="835" t="s">
        <v>2585</v>
      </c>
      <c r="C35" s="223"/>
      <c r="D35" s="557"/>
      <c r="E35" s="236"/>
      <c r="F35" s="223"/>
      <c r="G35" s="343" t="s">
        <v>316</v>
      </c>
      <c r="H35" s="433"/>
      <c r="J35" s="692"/>
    </row>
    <row r="36" spans="1:13" s="1" customFormat="1" ht="12.6" customHeight="1">
      <c r="A36" s="429"/>
      <c r="B36" s="343" t="s">
        <v>2586</v>
      </c>
      <c r="C36" s="99"/>
      <c r="D36" s="557"/>
      <c r="E36" s="99"/>
      <c r="F36" s="111"/>
      <c r="G36" s="99"/>
      <c r="H36" s="433"/>
      <c r="J36" s="692"/>
    </row>
    <row r="37" spans="1:13" s="1" customFormat="1" ht="12.6" customHeight="1">
      <c r="A37" s="429"/>
      <c r="B37" s="343" t="s">
        <v>1388</v>
      </c>
      <c r="C37" s="99"/>
      <c r="D37" s="1882" t="s">
        <v>1380</v>
      </c>
      <c r="E37" s="952"/>
      <c r="F37" s="111"/>
      <c r="G37" s="343" t="s">
        <v>1866</v>
      </c>
      <c r="H37" s="490"/>
      <c r="J37" s="692"/>
    </row>
    <row r="38" spans="1:13" s="1" customFormat="1" ht="12.6" customHeight="1">
      <c r="A38" s="429"/>
      <c r="B38" s="734" t="s">
        <v>2036</v>
      </c>
      <c r="C38" s="99"/>
      <c r="D38" s="1884"/>
      <c r="E38" s="99"/>
      <c r="F38" s="111"/>
      <c r="G38" s="341"/>
      <c r="H38" s="433"/>
      <c r="J38" s="692"/>
    </row>
    <row r="39" spans="1:13" s="1" customFormat="1" ht="10.8" customHeight="1">
      <c r="A39" s="689"/>
      <c r="B39" s="2365"/>
      <c r="C39" s="502"/>
      <c r="D39" s="948"/>
      <c r="E39" s="502"/>
      <c r="F39" s="533"/>
      <c r="G39" s="572"/>
      <c r="H39" s="949"/>
      <c r="J39" s="692"/>
    </row>
    <row r="40" spans="1:13" s="1" customFormat="1" ht="15.6">
      <c r="A40" s="573"/>
      <c r="B40" s="2366" t="s">
        <v>557</v>
      </c>
      <c r="C40" s="391"/>
      <c r="D40" s="562"/>
      <c r="E40" s="391"/>
      <c r="F40" s="546"/>
      <c r="G40" s="391"/>
      <c r="H40" s="487" t="s">
        <v>2792</v>
      </c>
      <c r="J40" s="692"/>
      <c r="K40"/>
      <c r="L40"/>
    </row>
    <row r="41" spans="1:13" s="1" customFormat="1">
      <c r="A41" s="429"/>
      <c r="B41" s="111"/>
      <c r="C41" s="111"/>
      <c r="D41" s="105" t="s">
        <v>329</v>
      </c>
      <c r="E41" s="110"/>
      <c r="F41" s="564"/>
      <c r="G41" s="99"/>
      <c r="H41" s="563"/>
      <c r="J41" s="692"/>
      <c r="K41"/>
      <c r="L41"/>
      <c r="M41"/>
    </row>
    <row r="42" spans="1:13" s="1" customFormat="1" ht="15" customHeight="1">
      <c r="A42" s="429"/>
      <c r="B42" s="111" t="s">
        <v>182</v>
      </c>
      <c r="C42" s="111" t="s">
        <v>2816</v>
      </c>
      <c r="D42" s="66">
        <v>6.6260693000000002E-34</v>
      </c>
      <c r="E42" s="110" t="s">
        <v>1940</v>
      </c>
      <c r="F42" s="565"/>
      <c r="G42" s="347"/>
      <c r="H42" s="558"/>
      <c r="J42" s="692"/>
    </row>
    <row r="43" spans="1:13" s="1" customFormat="1" ht="15" customHeight="1">
      <c r="A43" s="429"/>
      <c r="B43" s="111" t="s">
        <v>311</v>
      </c>
      <c r="C43" s="111" t="s">
        <v>312</v>
      </c>
      <c r="D43" s="57">
        <v>8.8541878100000007E-12</v>
      </c>
      <c r="E43" s="110" t="s">
        <v>313</v>
      </c>
      <c r="F43" s="565"/>
      <c r="G43" s="105"/>
      <c r="H43" s="558"/>
      <c r="J43" s="692"/>
    </row>
    <row r="44" spans="1:13" s="1" customFormat="1" ht="15" customHeight="1">
      <c r="A44" s="429"/>
      <c r="B44" s="111" t="s">
        <v>426</v>
      </c>
      <c r="C44" s="111" t="s">
        <v>314</v>
      </c>
      <c r="D44" s="57">
        <v>9.1093825999999998E-31</v>
      </c>
      <c r="E44" s="110" t="s">
        <v>11</v>
      </c>
      <c r="F44" s="564"/>
      <c r="G44" s="602"/>
      <c r="H44" s="558"/>
      <c r="J44" s="692"/>
    </row>
    <row r="45" spans="1:13" s="1" customFormat="1" ht="15" customHeight="1">
      <c r="A45" s="429"/>
      <c r="B45" s="117" t="s">
        <v>1822</v>
      </c>
      <c r="C45" s="117" t="s">
        <v>1209</v>
      </c>
      <c r="D45" s="1150">
        <f>D44/(SQRT(1-(POWER(D54,2)/POWER(D47,2))))</f>
        <v>9.1096251531678095E-31</v>
      </c>
      <c r="E45" s="124" t="s">
        <v>11</v>
      </c>
      <c r="F45" s="564"/>
      <c r="G45" s="603"/>
      <c r="H45" s="558"/>
      <c r="J45" s="692"/>
    </row>
    <row r="46" spans="1:13" s="1" customFormat="1" ht="15" customHeight="1">
      <c r="A46" s="429"/>
      <c r="B46" s="111" t="s">
        <v>315</v>
      </c>
      <c r="C46" s="111" t="s">
        <v>92</v>
      </c>
      <c r="D46" s="57">
        <v>1.60217653E-19</v>
      </c>
      <c r="E46" s="110" t="s">
        <v>318</v>
      </c>
      <c r="F46" s="564"/>
      <c r="G46" s="604"/>
      <c r="H46" s="558"/>
      <c r="J46" s="692"/>
    </row>
    <row r="47" spans="1:13" s="1" customFormat="1" ht="15" customHeight="1">
      <c r="A47" s="429"/>
      <c r="B47" s="111" t="s">
        <v>336</v>
      </c>
      <c r="C47" s="111" t="s">
        <v>101</v>
      </c>
      <c r="D47" s="67">
        <v>299792458</v>
      </c>
      <c r="E47" s="99" t="s">
        <v>24</v>
      </c>
      <c r="F47" s="341"/>
      <c r="G47" s="341"/>
      <c r="H47" s="558"/>
      <c r="J47" s="692"/>
    </row>
    <row r="48" spans="1:13" s="1" customFormat="1" ht="15" customHeight="1">
      <c r="A48" s="429"/>
      <c r="B48" s="834" t="s">
        <v>1821</v>
      </c>
      <c r="C48" s="341"/>
      <c r="D48" s="341"/>
      <c r="E48" s="341"/>
      <c r="F48" s="341"/>
      <c r="G48" s="566" t="s">
        <v>1336</v>
      </c>
      <c r="H48" s="558"/>
      <c r="J48" s="692"/>
    </row>
    <row r="49" spans="1:12" s="1" customFormat="1" ht="15" customHeight="1">
      <c r="A49" s="429"/>
      <c r="B49" s="341"/>
      <c r="C49" s="341"/>
      <c r="D49" s="341"/>
      <c r="E49" s="341"/>
      <c r="F49" s="564"/>
      <c r="G49" s="566" t="s">
        <v>1367</v>
      </c>
      <c r="H49" s="558"/>
      <c r="J49" s="692"/>
      <c r="K49"/>
      <c r="L49"/>
    </row>
    <row r="50" spans="1:12" s="1" customFormat="1">
      <c r="A50" s="429"/>
      <c r="B50" s="341"/>
      <c r="C50" s="341"/>
      <c r="D50" s="346" t="s">
        <v>3</v>
      </c>
      <c r="E50" s="111"/>
      <c r="F50" s="341"/>
      <c r="G50" s="566" t="s">
        <v>1337</v>
      </c>
      <c r="H50" s="563"/>
      <c r="J50" s="692"/>
      <c r="K50"/>
    </row>
    <row r="51" spans="1:12" s="1" customFormat="1" ht="15.75" customHeight="1">
      <c r="A51" s="429"/>
      <c r="B51" s="111" t="s">
        <v>2160</v>
      </c>
      <c r="C51" s="111" t="s">
        <v>352</v>
      </c>
      <c r="D51" s="317">
        <v>1</v>
      </c>
      <c r="E51" s="236" t="s">
        <v>542</v>
      </c>
      <c r="F51" s="341"/>
      <c r="G51" s="566" t="s">
        <v>2157</v>
      </c>
      <c r="H51" s="558"/>
      <c r="J51" s="692"/>
    </row>
    <row r="52" spans="1:12" s="1" customFormat="1" ht="15" customHeight="1">
      <c r="A52" s="429"/>
      <c r="B52" s="347"/>
      <c r="C52" s="341"/>
      <c r="D52" s="341"/>
      <c r="E52" s="341"/>
      <c r="F52" s="341"/>
      <c r="G52" s="341"/>
      <c r="H52" s="563"/>
      <c r="J52" s="692"/>
    </row>
    <row r="53" spans="1:12" s="1" customFormat="1">
      <c r="A53" s="429"/>
      <c r="B53" s="99"/>
      <c r="C53" s="111"/>
      <c r="D53" s="346" t="s">
        <v>4</v>
      </c>
      <c r="E53" s="110"/>
      <c r="F53" s="564"/>
      <c r="G53" s="344" t="s">
        <v>333</v>
      </c>
      <c r="H53" s="558"/>
      <c r="J53" s="692"/>
    </row>
    <row r="54" spans="1:12" s="1" customFormat="1" ht="16.2">
      <c r="A54" s="429"/>
      <c r="B54" s="111" t="s">
        <v>544</v>
      </c>
      <c r="C54" s="111" t="s">
        <v>317</v>
      </c>
      <c r="D54" s="1359">
        <f>(POWER(D46,2))/(2*D42*D43*D51)</f>
        <v>2187691.2609544005</v>
      </c>
      <c r="E54" s="99" t="s">
        <v>24</v>
      </c>
      <c r="F54" s="564"/>
      <c r="G54" s="358"/>
      <c r="H54" s="558"/>
      <c r="J54" s="692"/>
    </row>
    <row r="55" spans="1:12" s="1" customFormat="1" ht="15" customHeight="1">
      <c r="A55" s="429"/>
      <c r="B55" s="99"/>
      <c r="C55" s="111" t="s">
        <v>364</v>
      </c>
      <c r="D55" s="1356">
        <f>D54/1000</f>
        <v>2187.6912609544006</v>
      </c>
      <c r="E55" s="110" t="s">
        <v>5</v>
      </c>
      <c r="F55" s="564"/>
      <c r="G55" s="359"/>
      <c r="H55" s="558"/>
      <c r="J55" s="692"/>
    </row>
    <row r="56" spans="1:12" s="1" customFormat="1">
      <c r="A56" s="429"/>
      <c r="B56" s="99"/>
      <c r="C56" s="111" t="s">
        <v>364</v>
      </c>
      <c r="D56" s="1363">
        <f>(D54/D47)*100</f>
        <v>0.72973525603315892</v>
      </c>
      <c r="E56" s="110" t="s">
        <v>422</v>
      </c>
      <c r="F56" s="564"/>
      <c r="G56" s="347"/>
      <c r="H56" s="558"/>
      <c r="J56" s="692"/>
    </row>
    <row r="57" spans="1:12" s="1" customFormat="1">
      <c r="A57" s="429"/>
      <c r="B57" s="99"/>
      <c r="C57" s="111"/>
      <c r="D57" s="99"/>
      <c r="E57" s="110"/>
      <c r="F57" s="564"/>
      <c r="G57" s="345" t="s">
        <v>334</v>
      </c>
      <c r="H57" s="558"/>
      <c r="J57" s="692"/>
    </row>
    <row r="58" spans="1:12" s="1" customFormat="1" ht="16.2">
      <c r="A58" s="429"/>
      <c r="B58" s="111" t="s">
        <v>1161</v>
      </c>
      <c r="C58" s="111" t="s">
        <v>310</v>
      </c>
      <c r="D58" s="1359">
        <f>((POWER(D42,2))*D43/(D45*(POWER(D46,2))*3.1414))*POWER(D51,2)</f>
        <v>5.2919556991689542E-11</v>
      </c>
      <c r="E58" s="110" t="s">
        <v>8</v>
      </c>
      <c r="F58" s="564"/>
      <c r="G58" s="360"/>
      <c r="H58" s="558"/>
      <c r="J58" s="692"/>
    </row>
    <row r="59" spans="1:12" s="1" customFormat="1">
      <c r="A59" s="429"/>
      <c r="B59" s="890" t="s">
        <v>540</v>
      </c>
      <c r="C59" s="111"/>
      <c r="D59" s="99"/>
      <c r="E59" s="110"/>
      <c r="F59" s="111"/>
      <c r="G59" s="313"/>
      <c r="H59" s="558"/>
      <c r="J59" s="692"/>
    </row>
    <row r="60" spans="1:12" s="1" customFormat="1" ht="15" customHeight="1">
      <c r="A60" s="429"/>
      <c r="B60" s="341"/>
      <c r="C60" s="341"/>
      <c r="D60" s="341"/>
      <c r="E60" s="341"/>
      <c r="F60" s="341"/>
      <c r="G60" s="341"/>
      <c r="H60" s="490"/>
      <c r="J60" s="692"/>
    </row>
    <row r="61" spans="1:12" s="1" customFormat="1">
      <c r="A61" s="429"/>
      <c r="B61" s="273" t="s">
        <v>1389</v>
      </c>
      <c r="C61" s="111"/>
      <c r="D61" s="99"/>
      <c r="E61" s="110"/>
      <c r="F61" s="111"/>
      <c r="G61" s="566" t="s">
        <v>331</v>
      </c>
      <c r="H61" s="490"/>
      <c r="J61" s="692"/>
      <c r="K61"/>
    </row>
    <row r="62" spans="1:12" s="1" customFormat="1" ht="16.8">
      <c r="A62" s="429"/>
      <c r="B62" s="273" t="s">
        <v>1390</v>
      </c>
      <c r="C62" s="111"/>
      <c r="D62" s="99"/>
      <c r="E62" s="110"/>
      <c r="F62" s="111"/>
      <c r="G62" s="566" t="s">
        <v>332</v>
      </c>
      <c r="H62" s="490"/>
      <c r="J62" s="692"/>
      <c r="K62"/>
    </row>
    <row r="63" spans="1:12" s="1" customFormat="1">
      <c r="A63" s="429"/>
      <c r="B63" s="273" t="s">
        <v>2725</v>
      </c>
      <c r="C63" s="111"/>
      <c r="D63" s="99"/>
      <c r="E63" s="110"/>
      <c r="F63" s="111"/>
      <c r="G63" s="345" t="s">
        <v>325</v>
      </c>
      <c r="H63" s="490"/>
      <c r="J63" s="692"/>
    </row>
    <row r="64" spans="1:12" s="1" customFormat="1" ht="16.2">
      <c r="A64" s="429"/>
      <c r="B64" s="111" t="s">
        <v>322</v>
      </c>
      <c r="C64" s="111" t="s">
        <v>320</v>
      </c>
      <c r="D64" s="1359">
        <f>-(D45*POWER(D46,4))/(8*POWER(D43,2)*POWER(D42,2)*POWER(D51,2))</f>
        <v>-2.179930135041479E-18</v>
      </c>
      <c r="E64" s="110" t="s">
        <v>36</v>
      </c>
      <c r="F64" s="111"/>
      <c r="G64" s="311"/>
      <c r="H64" s="490"/>
      <c r="J64" s="692"/>
    </row>
    <row r="65" spans="1:13" s="1" customFormat="1" ht="15" customHeight="1">
      <c r="A65" s="429"/>
      <c r="B65" s="342" t="s">
        <v>1846</v>
      </c>
      <c r="C65" s="111" t="s">
        <v>321</v>
      </c>
      <c r="D65" s="1363">
        <f>D64*6242000000000000000</f>
        <v>-13.607123902928912</v>
      </c>
      <c r="E65" s="110" t="s">
        <v>179</v>
      </c>
      <c r="F65" s="111"/>
      <c r="G65" s="313"/>
      <c r="H65" s="490"/>
      <c r="J65" s="692"/>
    </row>
    <row r="66" spans="1:13" s="1" customFormat="1" ht="12" customHeight="1">
      <c r="A66" s="429"/>
      <c r="B66" s="343"/>
      <c r="C66" s="111"/>
      <c r="D66" s="99"/>
      <c r="E66" s="110"/>
      <c r="F66" s="111"/>
      <c r="G66" s="343"/>
      <c r="H66" s="490"/>
      <c r="J66" s="692"/>
    </row>
    <row r="67" spans="1:13" s="1" customFormat="1">
      <c r="A67" s="429"/>
      <c r="B67" s="955" t="s">
        <v>902</v>
      </c>
      <c r="C67" s="341"/>
      <c r="D67" s="341"/>
      <c r="E67" s="341"/>
      <c r="F67" s="111"/>
      <c r="G67" s="73" t="s">
        <v>539</v>
      </c>
      <c r="H67" s="490"/>
      <c r="J67" s="692"/>
    </row>
    <row r="68" spans="1:13" s="1" customFormat="1" ht="13.5" customHeight="1">
      <c r="A68" s="429"/>
      <c r="B68" s="557" t="s">
        <v>2385</v>
      </c>
      <c r="C68" s="111" t="s">
        <v>323</v>
      </c>
      <c r="D68" s="1768">
        <v>-2.179872E-18</v>
      </c>
      <c r="E68" s="110" t="s">
        <v>36</v>
      </c>
      <c r="F68" s="111"/>
      <c r="G68" s="74" t="s">
        <v>365</v>
      </c>
      <c r="H68" s="490"/>
      <c r="J68" s="692"/>
    </row>
    <row r="69" spans="1:13" s="1" customFormat="1" ht="15" customHeight="1">
      <c r="A69" s="429"/>
      <c r="B69" s="341"/>
      <c r="C69" s="111" t="s">
        <v>324</v>
      </c>
      <c r="D69" s="1769">
        <f xml:space="preserve"> D68*6242000000000000000</f>
        <v>-13.606761024000001</v>
      </c>
      <c r="E69" s="110" t="s">
        <v>179</v>
      </c>
      <c r="F69" s="111"/>
      <c r="G69" s="74" t="s">
        <v>366</v>
      </c>
      <c r="H69" s="490"/>
      <c r="J69" s="692"/>
      <c r="K69"/>
      <c r="M69"/>
    </row>
    <row r="70" spans="1:13" s="1" customFormat="1" ht="15" customHeight="1">
      <c r="A70" s="429"/>
      <c r="B70" s="184"/>
      <c r="C70" s="111"/>
      <c r="D70" s="341"/>
      <c r="E70" s="110"/>
      <c r="F70" s="111"/>
      <c r="G70" s="74" t="s">
        <v>367</v>
      </c>
      <c r="H70" s="490"/>
      <c r="J70" s="692"/>
    </row>
    <row r="71" spans="1:13" s="1" customFormat="1" ht="15" customHeight="1">
      <c r="A71" s="429"/>
      <c r="B71" s="99"/>
      <c r="C71" s="111"/>
      <c r="D71" s="346" t="s">
        <v>3</v>
      </c>
      <c r="E71" s="110"/>
      <c r="F71" s="111"/>
      <c r="G71" s="75" t="s">
        <v>368</v>
      </c>
      <c r="H71" s="490"/>
      <c r="J71" s="692"/>
    </row>
    <row r="72" spans="1:13" s="1" customFormat="1" ht="15" customHeight="1">
      <c r="A72" s="429"/>
      <c r="B72" s="506" t="s">
        <v>308</v>
      </c>
      <c r="C72" s="111" t="s">
        <v>309</v>
      </c>
      <c r="D72" s="318">
        <v>1</v>
      </c>
      <c r="E72" s="110" t="s">
        <v>542</v>
      </c>
      <c r="F72" s="111"/>
      <c r="G72" s="341"/>
      <c r="H72" s="490"/>
      <c r="J72" s="692"/>
    </row>
    <row r="73" spans="1:13" s="1" customFormat="1" ht="15" customHeight="1">
      <c r="A73" s="429"/>
      <c r="B73" s="111"/>
      <c r="C73" s="111"/>
      <c r="D73" s="111"/>
      <c r="E73" s="110"/>
      <c r="F73" s="111"/>
      <c r="G73" s="551" t="s">
        <v>2817</v>
      </c>
      <c r="H73" s="490"/>
      <c r="J73" s="692"/>
      <c r="K73"/>
    </row>
    <row r="74" spans="1:13" s="1" customFormat="1">
      <c r="A74" s="429"/>
      <c r="B74" s="99"/>
      <c r="C74" s="111"/>
      <c r="D74" s="346" t="s">
        <v>4</v>
      </c>
      <c r="E74" s="110"/>
      <c r="F74" s="111"/>
      <c r="G74" s="1429" t="s">
        <v>2726</v>
      </c>
      <c r="H74" s="490"/>
      <c r="J74" s="692"/>
    </row>
    <row r="75" spans="1:13" s="1" customFormat="1" ht="16.2">
      <c r="A75" s="429"/>
      <c r="B75" s="506" t="s">
        <v>322</v>
      </c>
      <c r="C75" s="111" t="s">
        <v>320</v>
      </c>
      <c r="D75" s="1359">
        <f>D68/POWER(D72,2)</f>
        <v>-2.179872E-18</v>
      </c>
      <c r="E75" s="110" t="s">
        <v>36</v>
      </c>
      <c r="F75" s="111"/>
      <c r="G75" s="311"/>
      <c r="H75" s="490"/>
      <c r="J75" s="692"/>
    </row>
    <row r="76" spans="1:13" s="1" customFormat="1" ht="16.2">
      <c r="A76" s="429"/>
      <c r="B76" s="99"/>
      <c r="C76" s="111" t="s">
        <v>321</v>
      </c>
      <c r="D76" s="1363">
        <f>D75*6242000000000000000</f>
        <v>-13.606761024000001</v>
      </c>
      <c r="E76" s="110" t="s">
        <v>179</v>
      </c>
      <c r="F76" s="111"/>
      <c r="G76" s="313"/>
      <c r="H76" s="490"/>
      <c r="J76" s="692"/>
    </row>
    <row r="77" spans="1:13" s="1" customFormat="1" ht="9" customHeight="1">
      <c r="A77" s="689"/>
      <c r="B77" s="502"/>
      <c r="C77" s="533"/>
      <c r="D77" s="951"/>
      <c r="E77" s="534"/>
      <c r="F77" s="533"/>
      <c r="G77" s="502"/>
      <c r="H77" s="499"/>
      <c r="J77" s="692"/>
    </row>
    <row r="78" spans="1:13" s="1" customFormat="1" ht="15.6">
      <c r="A78" s="573"/>
      <c r="B78" s="562"/>
      <c r="C78" s="562"/>
      <c r="D78" s="562"/>
      <c r="E78" s="562"/>
      <c r="F78" s="562"/>
      <c r="G78" s="562"/>
      <c r="H78" s="487" t="s">
        <v>2791</v>
      </c>
      <c r="J78" s="692"/>
    </row>
    <row r="79" spans="1:13" s="3" customFormat="1" ht="13.8">
      <c r="A79" s="394"/>
      <c r="B79" s="931" t="s">
        <v>1338</v>
      </c>
      <c r="C79" s="99"/>
      <c r="D79" s="99"/>
      <c r="E79" s="99"/>
      <c r="F79" s="99"/>
      <c r="G79" s="99"/>
      <c r="H79" s="490"/>
      <c r="J79" s="692"/>
    </row>
    <row r="80" spans="1:13" s="3" customFormat="1" ht="13.8">
      <c r="A80" s="394"/>
      <c r="B80" s="931" t="s">
        <v>1340</v>
      </c>
      <c r="C80" s="99"/>
      <c r="D80" s="99"/>
      <c r="E80" s="99"/>
      <c r="F80" s="99"/>
      <c r="G80" s="99"/>
      <c r="H80" s="490"/>
      <c r="J80" s="692"/>
    </row>
    <row r="81" spans="1:12" s="3" customFormat="1" ht="13.8">
      <c r="A81" s="394"/>
      <c r="B81" s="931" t="s">
        <v>1339</v>
      </c>
      <c r="C81" s="99"/>
      <c r="D81" s="99"/>
      <c r="E81" s="99"/>
      <c r="F81" s="99"/>
      <c r="G81" s="99"/>
      <c r="H81" s="490"/>
      <c r="J81" s="692"/>
    </row>
    <row r="82" spans="1:12" s="3" customFormat="1" ht="13.8">
      <c r="A82" s="394"/>
      <c r="B82" s="931" t="s">
        <v>1341</v>
      </c>
      <c r="C82" s="99"/>
      <c r="D82" s="99"/>
      <c r="E82" s="99"/>
      <c r="F82" s="99"/>
      <c r="G82" s="99"/>
      <c r="H82" s="490"/>
      <c r="J82" s="692"/>
    </row>
    <row r="83" spans="1:12" s="3" customFormat="1" ht="16.2">
      <c r="A83" s="394"/>
      <c r="B83" s="931" t="s">
        <v>1823</v>
      </c>
      <c r="C83" s="99"/>
      <c r="D83" s="99"/>
      <c r="E83" s="99"/>
      <c r="F83" s="99"/>
      <c r="G83" s="99"/>
      <c r="H83" s="490"/>
      <c r="J83" s="692"/>
    </row>
    <row r="84" spans="1:12" s="3" customFormat="1" ht="13.8">
      <c r="A84" s="394"/>
      <c r="B84" s="931" t="s">
        <v>1342</v>
      </c>
      <c r="C84" s="99"/>
      <c r="D84" s="99"/>
      <c r="E84" s="99"/>
      <c r="F84" s="99"/>
      <c r="G84" s="99"/>
      <c r="H84" s="490"/>
      <c r="J84" s="692"/>
    </row>
    <row r="85" spans="1:12" s="3" customFormat="1" ht="13.8">
      <c r="A85" s="394"/>
      <c r="B85" s="99"/>
      <c r="C85" s="99"/>
      <c r="D85" s="346" t="s">
        <v>3</v>
      </c>
      <c r="E85" s="99"/>
      <c r="F85" s="99"/>
      <c r="G85" s="99"/>
      <c r="H85" s="490"/>
      <c r="J85" s="692"/>
    </row>
    <row r="86" spans="1:12" s="3" customFormat="1" ht="15" customHeight="1">
      <c r="A86" s="394"/>
      <c r="B86" s="506" t="s">
        <v>1738</v>
      </c>
      <c r="C86" s="111" t="s">
        <v>352</v>
      </c>
      <c r="D86" s="258">
        <v>2</v>
      </c>
      <c r="E86" s="110" t="s">
        <v>542</v>
      </c>
      <c r="F86" s="574"/>
      <c r="G86" s="99"/>
      <c r="H86" s="490"/>
      <c r="J86" s="692"/>
      <c r="L86"/>
    </row>
    <row r="87" spans="1:12" s="3" customFormat="1" ht="15" customHeight="1">
      <c r="A87" s="394"/>
      <c r="B87" s="506" t="s">
        <v>2818</v>
      </c>
      <c r="C87" s="111" t="s">
        <v>55</v>
      </c>
      <c r="D87" s="258">
        <v>3</v>
      </c>
      <c r="E87" s="110" t="s">
        <v>542</v>
      </c>
      <c r="F87" s="574"/>
      <c r="G87" s="99"/>
      <c r="H87" s="490"/>
      <c r="J87" s="692"/>
    </row>
    <row r="88" spans="1:12" s="3" customFormat="1" ht="15.6" customHeight="1">
      <c r="A88" s="394"/>
      <c r="B88" s="99"/>
      <c r="C88" s="111"/>
      <c r="D88" s="99"/>
      <c r="E88" s="99"/>
      <c r="F88" s="99"/>
      <c r="G88" s="99"/>
      <c r="H88" s="490"/>
      <c r="J88" s="692"/>
      <c r="K88"/>
      <c r="L88"/>
    </row>
    <row r="89" spans="1:12" s="3" customFormat="1" ht="13.8">
      <c r="A89" s="394"/>
      <c r="B89" s="273"/>
      <c r="C89" s="111"/>
      <c r="D89" s="346" t="s">
        <v>4</v>
      </c>
      <c r="E89" s="99"/>
      <c r="F89" s="99"/>
      <c r="G89" s="99"/>
      <c r="H89" s="490"/>
      <c r="J89" s="692"/>
    </row>
    <row r="90" spans="1:12" s="3" customFormat="1">
      <c r="A90" s="394"/>
      <c r="B90" s="141" t="s">
        <v>339</v>
      </c>
      <c r="C90" s="111" t="s">
        <v>335</v>
      </c>
      <c r="D90" s="1460">
        <f>D68*(1/(POWER(D87,2))-(1/(POWER(D86,2))))</f>
        <v>3.0276000000000002E-19</v>
      </c>
      <c r="E90" s="99" t="s">
        <v>36</v>
      </c>
      <c r="F90" s="99"/>
      <c r="G90" s="360"/>
      <c r="H90" s="490"/>
      <c r="J90" s="692"/>
    </row>
    <row r="91" spans="1:12" s="3" customFormat="1" ht="13.8">
      <c r="A91" s="394"/>
      <c r="B91" s="273"/>
      <c r="C91" s="111" t="s">
        <v>335</v>
      </c>
      <c r="D91" s="1363">
        <f>D90*6242000000000000000</f>
        <v>1.8898279200000001</v>
      </c>
      <c r="E91" s="110" t="s">
        <v>179</v>
      </c>
      <c r="F91" s="99"/>
      <c r="G91" s="313"/>
      <c r="H91" s="490"/>
      <c r="J91" s="692"/>
    </row>
    <row r="92" spans="1:12" s="3" customFormat="1">
      <c r="A92" s="394"/>
      <c r="B92" s="273"/>
      <c r="C92" s="99"/>
      <c r="D92" s="99"/>
      <c r="E92" s="99"/>
      <c r="F92" s="99"/>
      <c r="G92" s="99"/>
      <c r="H92" s="490"/>
      <c r="J92" s="692"/>
      <c r="K92"/>
    </row>
    <row r="93" spans="1:12" s="3" customFormat="1">
      <c r="A93" s="394"/>
      <c r="B93" s="141" t="s">
        <v>338</v>
      </c>
      <c r="C93" s="111" t="s">
        <v>10</v>
      </c>
      <c r="D93" s="1359">
        <f>D90/D42</f>
        <v>456922477403005.75</v>
      </c>
      <c r="E93" s="99" t="s">
        <v>45</v>
      </c>
      <c r="F93" s="99"/>
      <c r="G93" s="340"/>
      <c r="H93" s="490"/>
      <c r="J93" s="692"/>
    </row>
    <row r="94" spans="1:12" s="3" customFormat="1" ht="13.8">
      <c r="A94" s="394"/>
      <c r="B94" s="273"/>
      <c r="C94" s="99"/>
      <c r="D94" s="99"/>
      <c r="E94" s="99"/>
      <c r="F94" s="99"/>
      <c r="G94" s="99"/>
      <c r="H94" s="490"/>
      <c r="J94" s="692"/>
    </row>
    <row r="95" spans="1:12" s="3" customFormat="1">
      <c r="A95" s="394"/>
      <c r="B95" s="141" t="s">
        <v>43</v>
      </c>
      <c r="C95" s="111" t="s">
        <v>337</v>
      </c>
      <c r="D95" s="1461">
        <f>(D47/D93)*1000000000</f>
        <v>656.11230093980032</v>
      </c>
      <c r="E95" s="99" t="s">
        <v>44</v>
      </c>
      <c r="F95" s="99"/>
      <c r="G95" s="361"/>
      <c r="H95" s="490"/>
      <c r="J95" s="692"/>
    </row>
    <row r="96" spans="1:12" s="3" customFormat="1">
      <c r="A96" s="394"/>
      <c r="B96" s="107"/>
      <c r="C96" s="99"/>
      <c r="D96" s="99"/>
      <c r="E96" s="99"/>
      <c r="F96" s="99"/>
      <c r="G96" s="99"/>
      <c r="H96" s="490"/>
      <c r="J96" s="692"/>
    </row>
    <row r="97" spans="1:14" s="3" customFormat="1">
      <c r="A97" s="394"/>
      <c r="B97" s="111"/>
      <c r="C97" s="99"/>
      <c r="D97" s="491" t="s">
        <v>1343</v>
      </c>
      <c r="E97" s="99"/>
      <c r="F97" s="99"/>
      <c r="G97" s="99"/>
      <c r="H97" s="490"/>
      <c r="J97" s="692"/>
      <c r="K97"/>
    </row>
    <row r="98" spans="1:14" s="3" customFormat="1" ht="13.8">
      <c r="A98" s="394"/>
      <c r="B98" s="99"/>
      <c r="C98" s="99"/>
      <c r="D98" s="489" t="s">
        <v>1344</v>
      </c>
      <c r="E98" s="99"/>
      <c r="F98" s="99"/>
      <c r="G98" s="99"/>
      <c r="H98" s="490"/>
      <c r="J98" s="692"/>
    </row>
    <row r="99" spans="1:14" s="3" customFormat="1" ht="13.8">
      <c r="A99" s="394"/>
      <c r="B99" s="99"/>
      <c r="C99" s="99"/>
      <c r="D99" s="491" t="s">
        <v>1345</v>
      </c>
      <c r="E99" s="99"/>
      <c r="F99" s="99"/>
      <c r="G99" s="99"/>
      <c r="H99" s="490"/>
      <c r="J99" s="692"/>
    </row>
    <row r="100" spans="1:14" s="3" customFormat="1" ht="13.8">
      <c r="A100" s="394"/>
      <c r="B100" s="99"/>
      <c r="C100" s="99"/>
      <c r="D100" s="99"/>
      <c r="E100" s="99"/>
      <c r="F100" s="99"/>
      <c r="G100" s="551" t="s">
        <v>541</v>
      </c>
      <c r="H100" s="490"/>
      <c r="J100" s="692"/>
    </row>
    <row r="101" spans="1:14" s="3" customFormat="1" ht="13.8">
      <c r="A101" s="394"/>
      <c r="B101" s="99"/>
      <c r="C101" s="99"/>
      <c r="D101" s="99"/>
      <c r="E101" s="99"/>
      <c r="F101" s="99"/>
      <c r="G101" s="551" t="s">
        <v>553</v>
      </c>
      <c r="H101" s="490"/>
      <c r="J101" s="692"/>
    </row>
    <row r="102" spans="1:14" s="3" customFormat="1" ht="13.8">
      <c r="A102" s="394"/>
      <c r="B102" s="99"/>
      <c r="C102" s="99"/>
      <c r="D102" s="99"/>
      <c r="E102" s="99"/>
      <c r="F102" s="99"/>
      <c r="G102" s="551" t="s">
        <v>554</v>
      </c>
      <c r="H102" s="490"/>
      <c r="J102" s="692"/>
    </row>
    <row r="103" spans="1:14" s="3" customFormat="1" ht="13.8">
      <c r="A103" s="394"/>
      <c r="B103" s="99"/>
      <c r="C103" s="99"/>
      <c r="D103" s="99"/>
      <c r="E103" s="99"/>
      <c r="F103" s="99"/>
      <c r="G103" s="99"/>
      <c r="H103" s="490"/>
      <c r="J103" s="692"/>
    </row>
    <row r="104" spans="1:14" s="3" customFormat="1">
      <c r="A104" s="394"/>
      <c r="B104" s="99"/>
      <c r="C104" s="99"/>
      <c r="D104" s="99"/>
      <c r="E104" s="99"/>
      <c r="F104" s="107"/>
      <c r="G104" s="99"/>
      <c r="H104" s="490"/>
      <c r="J104" s="692"/>
    </row>
    <row r="105" spans="1:14" s="3" customFormat="1" ht="13.8">
      <c r="A105" s="394"/>
      <c r="B105" s="99"/>
      <c r="C105" s="99"/>
      <c r="D105" s="99"/>
      <c r="E105" s="99"/>
      <c r="F105" s="99"/>
      <c r="G105" s="99"/>
      <c r="H105" s="490"/>
      <c r="J105" s="692"/>
    </row>
    <row r="106" spans="1:14" s="3" customFormat="1">
      <c r="A106" s="394"/>
      <c r="B106" s="99"/>
      <c r="C106" s="99"/>
      <c r="D106" s="99"/>
      <c r="E106" s="99"/>
      <c r="F106" s="99"/>
      <c r="G106" s="99"/>
      <c r="H106" s="490"/>
      <c r="J106" s="692"/>
      <c r="K106"/>
    </row>
    <row r="107" spans="1:14" s="3" customFormat="1">
      <c r="A107" s="394"/>
      <c r="B107" s="99"/>
      <c r="C107" s="99"/>
      <c r="D107" s="99"/>
      <c r="E107" s="99"/>
      <c r="F107" s="99"/>
      <c r="G107" s="107"/>
      <c r="H107" s="490"/>
      <c r="J107" s="692"/>
    </row>
    <row r="108" spans="1:14" s="3" customFormat="1" ht="13.8">
      <c r="A108" s="394"/>
      <c r="B108" s="99"/>
      <c r="C108" s="99"/>
      <c r="D108" s="99"/>
      <c r="E108" s="99"/>
      <c r="F108" s="99"/>
      <c r="G108" s="99"/>
      <c r="H108" s="490"/>
      <c r="J108" s="694"/>
    </row>
    <row r="109" spans="1:14" s="3" customFormat="1" ht="13.8">
      <c r="A109" s="394"/>
      <c r="B109" s="99"/>
      <c r="C109" s="99"/>
      <c r="D109" s="99"/>
      <c r="E109" s="99"/>
      <c r="F109" s="99"/>
      <c r="G109" s="99"/>
      <c r="H109" s="490"/>
      <c r="J109" s="694"/>
    </row>
    <row r="110" spans="1:14" s="3" customFormat="1">
      <c r="A110" s="394"/>
      <c r="B110" s="1875" t="s">
        <v>2145</v>
      </c>
      <c r="C110" s="99"/>
      <c r="D110" s="99"/>
      <c r="E110" s="99"/>
      <c r="F110" s="99"/>
      <c r="G110" s="273" t="s">
        <v>1346</v>
      </c>
      <c r="H110" s="490"/>
      <c r="J110" s="617"/>
      <c r="K110"/>
    </row>
    <row r="111" spans="1:14" s="3" customFormat="1" ht="13.8">
      <c r="A111" s="394"/>
      <c r="B111" s="121"/>
      <c r="C111" s="99"/>
      <c r="D111" s="99"/>
      <c r="E111" s="99"/>
      <c r="F111" s="99"/>
      <c r="G111" s="273" t="s">
        <v>373</v>
      </c>
      <c r="H111" s="490"/>
      <c r="J111" s="617"/>
      <c r="K111" s="788"/>
      <c r="L111" s="788"/>
      <c r="M111" s="788"/>
      <c r="N111" s="788"/>
    </row>
    <row r="112" spans="1:14" s="3" customFormat="1" ht="13.8">
      <c r="A112" s="394"/>
      <c r="B112" s="507" t="s">
        <v>2727</v>
      </c>
      <c r="C112" s="99"/>
      <c r="D112" s="99"/>
      <c r="E112" s="99"/>
      <c r="F112" s="99"/>
      <c r="G112" s="99"/>
      <c r="H112" s="490"/>
      <c r="J112" s="1217"/>
      <c r="K112" s="788"/>
      <c r="L112" s="788"/>
      <c r="M112" s="788"/>
      <c r="N112" s="788"/>
    </row>
    <row r="113" spans="1:14" s="3" customFormat="1" ht="15.6">
      <c r="A113" s="394"/>
      <c r="B113" s="342" t="s">
        <v>2147</v>
      </c>
      <c r="C113" s="99"/>
      <c r="D113" s="99"/>
      <c r="E113" s="99"/>
      <c r="F113" s="99"/>
      <c r="G113" s="99"/>
      <c r="H113" s="490"/>
      <c r="J113" s="1218"/>
      <c r="K113" s="788"/>
      <c r="L113" s="788"/>
      <c r="M113" s="788"/>
      <c r="N113" s="788"/>
    </row>
    <row r="114" spans="1:14" s="3" customFormat="1" ht="16.8" customHeight="1">
      <c r="A114" s="394"/>
      <c r="B114" s="112" t="s">
        <v>1609</v>
      </c>
      <c r="C114" s="99"/>
      <c r="D114" s="99"/>
      <c r="E114" s="99"/>
      <c r="F114" s="99"/>
      <c r="G114" s="273" t="s">
        <v>375</v>
      </c>
      <c r="H114" s="490"/>
      <c r="J114" s="1218"/>
      <c r="K114" s="788"/>
      <c r="L114" s="788"/>
      <c r="M114" s="788"/>
      <c r="N114" s="788"/>
    </row>
    <row r="115" spans="1:14" s="3" customFormat="1" ht="15.6" customHeight="1">
      <c r="A115" s="394"/>
      <c r="B115" s="507" t="s">
        <v>1608</v>
      </c>
      <c r="C115" s="99"/>
      <c r="D115" s="1883" t="s">
        <v>2146</v>
      </c>
      <c r="E115" s="99"/>
      <c r="F115" s="99"/>
      <c r="G115" s="273" t="s">
        <v>374</v>
      </c>
      <c r="H115" s="490"/>
      <c r="J115" s="626"/>
      <c r="K115"/>
    </row>
    <row r="116" spans="1:14" s="3" customFormat="1" ht="15.6" customHeight="1">
      <c r="A116" s="496"/>
      <c r="B116" s="874"/>
      <c r="C116" s="502"/>
      <c r="D116" s="502"/>
      <c r="E116" s="502"/>
      <c r="F116" s="502"/>
      <c r="G116" s="387"/>
      <c r="H116" s="499"/>
      <c r="J116" s="692"/>
      <c r="K116"/>
    </row>
    <row r="117" spans="1:14" s="3" customFormat="1" ht="15.6">
      <c r="A117" s="500"/>
      <c r="B117" s="957"/>
      <c r="C117" s="1126"/>
      <c r="D117" s="330"/>
      <c r="E117" s="330"/>
      <c r="F117" s="330"/>
      <c r="G117" s="330"/>
      <c r="H117" s="487" t="s">
        <v>2790</v>
      </c>
      <c r="J117" s="692"/>
    </row>
    <row r="118" spans="1:14" s="3" customFormat="1" ht="15.6">
      <c r="A118" s="394"/>
      <c r="B118" s="1114" t="s">
        <v>1327</v>
      </c>
      <c r="C118" s="506" t="s">
        <v>309</v>
      </c>
      <c r="D118" s="1112">
        <f>D51</f>
        <v>1</v>
      </c>
      <c r="E118" s="1165" t="s">
        <v>2158</v>
      </c>
      <c r="F118" s="2359" t="s">
        <v>2159</v>
      </c>
      <c r="G118" s="108"/>
      <c r="H118" s="493"/>
      <c r="J118" s="692"/>
      <c r="K118"/>
    </row>
    <row r="119" spans="1:14" s="5" customFormat="1" ht="15.6">
      <c r="A119" s="432"/>
      <c r="B119" s="325"/>
      <c r="C119" s="108"/>
      <c r="D119" s="576" t="s">
        <v>329</v>
      </c>
      <c r="E119" s="108"/>
      <c r="F119" s="108"/>
      <c r="G119" s="108"/>
      <c r="H119" s="493"/>
      <c r="J119" s="692"/>
      <c r="K119"/>
      <c r="L119"/>
    </row>
    <row r="120" spans="1:14" s="3" customFormat="1" ht="15" customHeight="1">
      <c r="A120" s="394"/>
      <c r="B120" s="506" t="s">
        <v>181</v>
      </c>
      <c r="C120" s="506" t="s">
        <v>413</v>
      </c>
      <c r="D120" s="57">
        <v>6.6742799999999995E-11</v>
      </c>
      <c r="E120" s="348" t="s">
        <v>228</v>
      </c>
      <c r="F120" s="108"/>
      <c r="G120" s="108"/>
      <c r="H120" s="493"/>
      <c r="J120" s="692"/>
      <c r="K120"/>
      <c r="L120"/>
      <c r="M120"/>
    </row>
    <row r="121" spans="1:14" s="3" customFormat="1" ht="18.75" customHeight="1">
      <c r="A121" s="394"/>
      <c r="B121" s="506" t="s">
        <v>551</v>
      </c>
      <c r="C121" s="111" t="s">
        <v>414</v>
      </c>
      <c r="D121" s="57">
        <v>1.6726199999999999E-27</v>
      </c>
      <c r="E121" s="108" t="s">
        <v>11</v>
      </c>
      <c r="F121" s="108"/>
      <c r="G121" s="108"/>
      <c r="H121" s="493"/>
      <c r="J121" s="692"/>
      <c r="L121"/>
      <c r="M121"/>
    </row>
    <row r="122" spans="1:14" s="3" customFormat="1" ht="15" customHeight="1">
      <c r="A122" s="394"/>
      <c r="B122" s="99"/>
      <c r="C122" s="99"/>
      <c r="D122" s="99"/>
      <c r="E122" s="99"/>
      <c r="F122" s="108"/>
      <c r="G122" s="108"/>
      <c r="H122" s="493"/>
      <c r="J122" s="692"/>
    </row>
    <row r="123" spans="1:14" s="3" customFormat="1" ht="15" customHeight="1">
      <c r="A123" s="394"/>
      <c r="B123" s="108"/>
      <c r="C123" s="108"/>
      <c r="D123" s="346" t="s">
        <v>4</v>
      </c>
      <c r="E123" s="108"/>
      <c r="F123" s="108"/>
      <c r="G123" s="362"/>
      <c r="H123" s="493"/>
      <c r="J123" s="692"/>
    </row>
    <row r="124" spans="1:14" s="3" customFormat="1" ht="16.2">
      <c r="A124" s="394"/>
      <c r="B124" s="326" t="s">
        <v>543</v>
      </c>
      <c r="C124" s="111" t="s">
        <v>191</v>
      </c>
      <c r="D124" s="1359">
        <f>D120*((D44*D121)/(POWER(D58,2)))</f>
        <v>3.6312675696065086E-47</v>
      </c>
      <c r="E124" s="108" t="s">
        <v>22</v>
      </c>
      <c r="F124" s="108"/>
      <c r="G124" s="363"/>
      <c r="H124" s="493"/>
      <c r="J124" s="692"/>
    </row>
    <row r="125" spans="1:14" s="3" customFormat="1" ht="15.6">
      <c r="A125" s="394"/>
      <c r="B125" s="556" t="s">
        <v>1312</v>
      </c>
      <c r="C125" s="108"/>
      <c r="D125" s="108"/>
      <c r="E125" s="108"/>
      <c r="F125" s="108"/>
      <c r="G125" s="108"/>
      <c r="H125" s="493"/>
      <c r="J125" s="692"/>
    </row>
    <row r="126" spans="1:14" s="3" customFormat="1">
      <c r="A126" s="394"/>
      <c r="B126" s="326"/>
      <c r="C126" s="108"/>
      <c r="D126" s="99"/>
      <c r="E126" s="108"/>
      <c r="F126" s="108"/>
      <c r="G126" s="362"/>
      <c r="H126" s="493"/>
      <c r="J126" s="692"/>
      <c r="K126"/>
    </row>
    <row r="127" spans="1:14" s="3" customFormat="1">
      <c r="A127" s="394"/>
      <c r="B127" s="326" t="s">
        <v>558</v>
      </c>
      <c r="C127" s="506" t="s">
        <v>2035</v>
      </c>
      <c r="D127" s="1359">
        <f>(1/(4*PI()*D43*1))*((POWER(D46,1)/(POWER(D58,2))))</f>
        <v>514184963166.50299</v>
      </c>
      <c r="E127" s="108" t="s">
        <v>415</v>
      </c>
      <c r="F127" s="574"/>
      <c r="G127" s="98"/>
      <c r="H127" s="493"/>
      <c r="J127" s="692"/>
    </row>
    <row r="128" spans="1:14" s="3" customFormat="1" ht="15.6">
      <c r="A128" s="394"/>
      <c r="B128" s="326" t="s">
        <v>805</v>
      </c>
      <c r="C128" s="108"/>
      <c r="D128" s="108"/>
      <c r="E128" s="108"/>
      <c r="F128" s="108"/>
      <c r="G128" s="363"/>
      <c r="H128" s="493"/>
      <c r="J128" s="692"/>
    </row>
    <row r="129" spans="1:13" s="3" customFormat="1">
      <c r="A129" s="394"/>
      <c r="B129" s="326"/>
      <c r="C129" s="108"/>
      <c r="D129" s="108"/>
      <c r="E129" s="108"/>
      <c r="F129" s="108"/>
      <c r="G129" s="108"/>
      <c r="H129" s="493"/>
      <c r="J129" s="692"/>
      <c r="K129"/>
      <c r="M129"/>
    </row>
    <row r="130" spans="1:13" s="3" customFormat="1" ht="13.8">
      <c r="A130" s="394"/>
      <c r="B130" s="100"/>
      <c r="C130" s="99"/>
      <c r="D130" s="99"/>
      <c r="E130" s="99"/>
      <c r="F130" s="99"/>
      <c r="G130" s="782"/>
      <c r="H130" s="490"/>
      <c r="J130" s="692"/>
    </row>
    <row r="131" spans="1:13" s="3" customFormat="1" ht="16.2">
      <c r="A131" s="394"/>
      <c r="B131" s="100" t="s">
        <v>1631</v>
      </c>
      <c r="C131" s="111" t="s">
        <v>416</v>
      </c>
      <c r="D131" s="1462">
        <f>D127*D46</f>
        <v>8.2381508006428561E-8</v>
      </c>
      <c r="E131" s="99" t="s">
        <v>22</v>
      </c>
      <c r="F131" s="99"/>
      <c r="G131" s="784"/>
      <c r="H131" s="490"/>
      <c r="J131" s="692"/>
    </row>
    <row r="132" spans="1:13" s="3" customFormat="1" ht="13.8">
      <c r="A132" s="394"/>
      <c r="B132" s="100"/>
      <c r="C132" s="99"/>
      <c r="D132" s="99"/>
      <c r="E132" s="99"/>
      <c r="F132" s="99"/>
      <c r="G132" s="783"/>
      <c r="H132" s="490"/>
      <c r="J132" s="692"/>
    </row>
    <row r="133" spans="1:13" s="3" customFormat="1" ht="13.8">
      <c r="A133" s="394"/>
      <c r="B133" s="326"/>
      <c r="C133" s="108"/>
      <c r="D133" s="108"/>
      <c r="E133" s="108"/>
      <c r="F133" s="108"/>
      <c r="G133" s="108"/>
      <c r="H133" s="493"/>
      <c r="J133" s="692"/>
    </row>
    <row r="134" spans="1:13" s="3" customFormat="1">
      <c r="A134" s="394"/>
      <c r="B134" s="342"/>
      <c r="C134" s="343"/>
      <c r="D134" s="343"/>
      <c r="E134" s="343"/>
      <c r="F134" s="343"/>
      <c r="G134" s="364"/>
      <c r="H134" s="433"/>
      <c r="J134" s="692"/>
      <c r="K134"/>
    </row>
    <row r="135" spans="1:13" s="5" customFormat="1" ht="16.2">
      <c r="A135" s="432"/>
      <c r="B135" s="100" t="s">
        <v>1632</v>
      </c>
      <c r="C135" s="506" t="s">
        <v>417</v>
      </c>
      <c r="D135" s="1359">
        <f>-(1/(4*PI()*D43*1))*((POWER(-D46,2)/(D58)))</f>
        <v>-4.3595929080075254E-18</v>
      </c>
      <c r="E135" s="99" t="s">
        <v>36</v>
      </c>
      <c r="F135" s="99"/>
      <c r="G135" s="98"/>
      <c r="H135" s="490"/>
      <c r="J135" s="692"/>
    </row>
    <row r="136" spans="1:13" s="3" customFormat="1" ht="13.8">
      <c r="A136" s="394"/>
      <c r="B136" s="342"/>
      <c r="C136" s="506" t="s">
        <v>364</v>
      </c>
      <c r="D136" s="1363">
        <f>D135*6242000000000000000</f>
        <v>-27.212578931782975</v>
      </c>
      <c r="E136" s="99" t="s">
        <v>179</v>
      </c>
      <c r="F136" s="99"/>
      <c r="G136" s="313"/>
      <c r="H136" s="490"/>
      <c r="J136" s="692"/>
    </row>
    <row r="137" spans="1:13" s="3" customFormat="1">
      <c r="A137" s="394"/>
      <c r="B137" s="100"/>
      <c r="C137" s="99"/>
      <c r="D137" s="99"/>
      <c r="E137" s="99"/>
      <c r="F137" s="99"/>
      <c r="G137" s="99"/>
      <c r="H137" s="493"/>
      <c r="J137" s="692"/>
      <c r="L137"/>
      <c r="M137"/>
    </row>
    <row r="138" spans="1:13" s="3" customFormat="1">
      <c r="A138" s="394"/>
      <c r="B138" s="100"/>
      <c r="C138" s="99"/>
      <c r="D138" s="99"/>
      <c r="E138" s="99"/>
      <c r="F138" s="99"/>
      <c r="G138" s="99"/>
      <c r="H138" s="493"/>
      <c r="J138" s="692"/>
      <c r="L138"/>
    </row>
    <row r="139" spans="1:13" s="3" customFormat="1" ht="16.2">
      <c r="A139" s="394"/>
      <c r="B139" s="100" t="s">
        <v>418</v>
      </c>
      <c r="C139" s="111" t="s">
        <v>420</v>
      </c>
      <c r="D139" s="1462">
        <f>D64-D135</f>
        <v>2.1796627729660464E-18</v>
      </c>
      <c r="E139" s="99" t="s">
        <v>36</v>
      </c>
      <c r="F139" s="99"/>
      <c r="G139" s="361"/>
      <c r="H139" s="493"/>
      <c r="J139" s="692"/>
      <c r="L139"/>
    </row>
    <row r="140" spans="1:13" s="3" customFormat="1" ht="13.8">
      <c r="A140" s="394"/>
      <c r="B140" s="108"/>
      <c r="C140" s="506" t="s">
        <v>364</v>
      </c>
      <c r="D140" s="1363">
        <f>D139*6242000000000000000</f>
        <v>13.605455028854061</v>
      </c>
      <c r="E140" s="99" t="s">
        <v>179</v>
      </c>
      <c r="F140" s="108"/>
      <c r="G140" s="108"/>
      <c r="H140" s="493"/>
      <c r="J140" s="692"/>
    </row>
    <row r="141" spans="1:13" s="3" customFormat="1" ht="13.8">
      <c r="A141" s="394"/>
      <c r="B141" s="108"/>
      <c r="C141" s="506"/>
      <c r="D141" s="1885"/>
      <c r="E141" s="99"/>
      <c r="F141" s="108"/>
      <c r="G141" s="108"/>
      <c r="H141" s="493"/>
      <c r="J141" s="692"/>
    </row>
    <row r="142" spans="1:13" s="3" customFormat="1" ht="13.8">
      <c r="A142" s="394"/>
      <c r="B142" s="576" t="s">
        <v>419</v>
      </c>
      <c r="C142" s="108"/>
      <c r="D142" s="108"/>
      <c r="E142" s="108"/>
      <c r="F142" s="108"/>
      <c r="G142" s="108"/>
      <c r="H142" s="493"/>
      <c r="J142" s="692"/>
    </row>
    <row r="143" spans="1:13" s="70" customFormat="1" ht="15.6" customHeight="1">
      <c r="A143" s="329"/>
      <c r="B143" s="108" t="s">
        <v>1347</v>
      </c>
      <c r="C143" s="108"/>
      <c r="D143" s="108"/>
      <c r="E143" s="108"/>
      <c r="F143" s="108"/>
      <c r="G143" s="108"/>
      <c r="H143" s="493"/>
      <c r="J143" s="693"/>
      <c r="L143" s="53"/>
    </row>
    <row r="144" spans="1:13" s="70" customFormat="1" ht="15.6" customHeight="1">
      <c r="A144" s="329"/>
      <c r="B144" s="108" t="s">
        <v>1616</v>
      </c>
      <c r="C144" s="108"/>
      <c r="D144" s="108"/>
      <c r="E144" s="108"/>
      <c r="F144" s="108"/>
      <c r="G144" s="108"/>
      <c r="H144" s="493"/>
      <c r="J144" s="693"/>
      <c r="K144" s="53"/>
      <c r="L144"/>
    </row>
    <row r="145" spans="1:13" s="70" customFormat="1" ht="15.6" customHeight="1">
      <c r="A145" s="329"/>
      <c r="B145" s="108" t="s">
        <v>1518</v>
      </c>
      <c r="C145" s="108"/>
      <c r="D145" s="108"/>
      <c r="E145" s="108"/>
      <c r="F145" s="108"/>
      <c r="G145" s="108"/>
      <c r="H145" s="493"/>
      <c r="J145" s="693"/>
      <c r="K145" s="53"/>
    </row>
    <row r="146" spans="1:13" s="3" customFormat="1" ht="13.8">
      <c r="A146" s="394"/>
      <c r="B146" s="108"/>
      <c r="C146" s="108"/>
      <c r="D146" s="108"/>
      <c r="E146" s="108"/>
      <c r="F146" s="108"/>
      <c r="G146" s="108"/>
      <c r="H146" s="493"/>
      <c r="J146" s="692"/>
    </row>
    <row r="147" spans="1:13" s="3" customFormat="1" ht="13.8">
      <c r="A147" s="394"/>
      <c r="B147" s="99"/>
      <c r="C147" s="108"/>
      <c r="D147" s="108"/>
      <c r="E147" s="108"/>
      <c r="F147" s="108"/>
      <c r="G147" s="362"/>
      <c r="H147" s="493"/>
      <c r="J147" s="692"/>
    </row>
    <row r="148" spans="1:13" s="3" customFormat="1">
      <c r="A148" s="394"/>
      <c r="B148" s="111" t="s">
        <v>421</v>
      </c>
      <c r="C148" s="506" t="s">
        <v>6</v>
      </c>
      <c r="D148" s="1354">
        <f>SQRT((2*D139)/D45)</f>
        <v>2187557.0998632084</v>
      </c>
      <c r="E148" s="108" t="s">
        <v>24</v>
      </c>
      <c r="F148" s="108"/>
      <c r="G148" s="365" t="s">
        <v>159</v>
      </c>
      <c r="H148" s="493"/>
      <c r="J148" s="692"/>
    </row>
    <row r="149" spans="1:13" s="3" customFormat="1" ht="13.8">
      <c r="A149" s="394"/>
      <c r="B149" s="108"/>
      <c r="C149" s="506" t="s">
        <v>364</v>
      </c>
      <c r="D149" s="1356">
        <f>D148/1000</f>
        <v>2187.5570998632084</v>
      </c>
      <c r="E149" s="108" t="s">
        <v>5</v>
      </c>
      <c r="F149" s="108"/>
      <c r="G149" s="363"/>
      <c r="H149" s="493"/>
      <c r="J149" s="692"/>
    </row>
    <row r="150" spans="1:13" s="3" customFormat="1" ht="13.8">
      <c r="A150" s="394"/>
      <c r="B150" s="99"/>
      <c r="C150" s="108"/>
      <c r="D150" s="108"/>
      <c r="E150" s="108"/>
      <c r="F150" s="108"/>
      <c r="G150" s="108"/>
      <c r="H150" s="493"/>
      <c r="J150" s="692"/>
    </row>
    <row r="151" spans="1:13" s="3" customFormat="1" ht="13.8">
      <c r="A151" s="394"/>
      <c r="B151" s="506" t="s">
        <v>549</v>
      </c>
      <c r="C151" s="506" t="s">
        <v>6</v>
      </c>
      <c r="D151" s="1354">
        <f>SQRT((-1*2*D135)/D45)</f>
        <v>3093767.7867639298</v>
      </c>
      <c r="E151" s="108" t="s">
        <v>24</v>
      </c>
      <c r="F151" s="108"/>
      <c r="G151" s="366" t="s">
        <v>424</v>
      </c>
      <c r="H151" s="493"/>
      <c r="J151" s="692"/>
    </row>
    <row r="152" spans="1:13">
      <c r="A152" s="414"/>
      <c r="B152" s="506" t="s">
        <v>423</v>
      </c>
      <c r="C152" s="111" t="s">
        <v>364</v>
      </c>
      <c r="D152" s="1463">
        <f>D151/1000</f>
        <v>3093.76778676393</v>
      </c>
      <c r="E152" s="108" t="s">
        <v>5</v>
      </c>
      <c r="F152" s="108"/>
      <c r="G152" s="2056" t="s">
        <v>2378</v>
      </c>
      <c r="H152" s="493"/>
    </row>
    <row r="153" spans="1:13">
      <c r="A153" s="414"/>
      <c r="B153" s="107"/>
      <c r="C153" s="111" t="s">
        <v>364</v>
      </c>
      <c r="D153" s="1365">
        <f>(D151/D47)*100</f>
        <v>1.0319698525450995</v>
      </c>
      <c r="E153" s="99" t="s">
        <v>422</v>
      </c>
      <c r="F153" s="99"/>
      <c r="G153" s="367" t="s">
        <v>425</v>
      </c>
      <c r="H153" s="417"/>
    </row>
    <row r="154" spans="1:13" ht="12" customHeight="1">
      <c r="A154" s="389"/>
      <c r="B154" s="395"/>
      <c r="C154" s="395"/>
      <c r="D154" s="395"/>
      <c r="E154" s="395"/>
      <c r="F154" s="395"/>
      <c r="G154" s="395"/>
      <c r="H154" s="536"/>
    </row>
    <row r="155" spans="1:13" ht="15.6">
      <c r="A155" s="485"/>
      <c r="B155" s="821"/>
      <c r="C155" s="821" t="s">
        <v>382</v>
      </c>
      <c r="D155" s="391"/>
      <c r="E155" s="391"/>
      <c r="F155" s="391"/>
      <c r="G155" s="379"/>
      <c r="H155" s="487" t="s">
        <v>2789</v>
      </c>
    </row>
    <row r="156" spans="1:13" s="53" customFormat="1">
      <c r="A156" s="333"/>
      <c r="B156" s="508"/>
      <c r="C156" s="955" t="s">
        <v>1660</v>
      </c>
      <c r="D156" s="108"/>
      <c r="E156" s="108"/>
      <c r="F156" s="108"/>
      <c r="G156" s="108"/>
      <c r="H156" s="493"/>
      <c r="J156" s="693"/>
    </row>
    <row r="157" spans="1:13" s="53" customFormat="1">
      <c r="A157" s="333"/>
      <c r="B157" s="508"/>
      <c r="C157" s="955" t="s">
        <v>1661</v>
      </c>
      <c r="D157" s="108"/>
      <c r="E157" s="108"/>
      <c r="F157" s="108"/>
      <c r="G157" s="108"/>
      <c r="H157" s="493"/>
      <c r="J157" s="693"/>
    </row>
    <row r="158" spans="1:13" s="53" customFormat="1">
      <c r="A158" s="333"/>
      <c r="B158" s="108" t="s">
        <v>2379</v>
      </c>
      <c r="C158" s="108"/>
      <c r="D158" s="108"/>
      <c r="E158" s="108"/>
      <c r="F158" s="108"/>
      <c r="G158" s="108"/>
      <c r="H158" s="493"/>
      <c r="J158" s="693"/>
    </row>
    <row r="159" spans="1:13" s="1263" customFormat="1">
      <c r="A159" s="1262"/>
      <c r="B159" s="108" t="s">
        <v>1693</v>
      </c>
      <c r="C159" s="108"/>
      <c r="D159" s="108"/>
      <c r="E159" s="108"/>
      <c r="F159" s="108"/>
      <c r="G159" s="108"/>
      <c r="H159" s="493"/>
      <c r="J159" s="693"/>
    </row>
    <row r="160" spans="1:13" s="1263" customFormat="1" ht="15.75" customHeight="1">
      <c r="A160" s="1262"/>
      <c r="B160" s="108" t="s">
        <v>1692</v>
      </c>
      <c r="C160" s="108"/>
      <c r="D160" s="108"/>
      <c r="E160" s="108"/>
      <c r="F160" s="108"/>
      <c r="G160" s="108"/>
      <c r="H160" s="493"/>
      <c r="J160" s="693"/>
      <c r="M160" s="53"/>
    </row>
    <row r="161" spans="1:12" s="1263" customFormat="1" ht="15.75" customHeight="1">
      <c r="A161" s="1262"/>
      <c r="B161" s="108" t="s">
        <v>2502</v>
      </c>
      <c r="C161" s="108"/>
      <c r="D161" s="108"/>
      <c r="E161" s="108"/>
      <c r="F161" s="108"/>
      <c r="G161" s="108"/>
      <c r="H161" s="493"/>
      <c r="J161" s="693"/>
    </row>
    <row r="162" spans="1:12" s="1263" customFormat="1">
      <c r="A162" s="1262"/>
      <c r="B162" s="108" t="s">
        <v>1694</v>
      </c>
      <c r="C162" s="108"/>
      <c r="D162" s="108"/>
      <c r="E162" s="108"/>
      <c r="F162" s="108"/>
      <c r="G162" s="108"/>
      <c r="H162" s="493"/>
      <c r="J162" s="693"/>
    </row>
    <row r="163" spans="1:12" s="2" customFormat="1" ht="12" customHeight="1">
      <c r="A163" s="559"/>
      <c r="B163" s="99"/>
      <c r="C163" s="99"/>
      <c r="D163" s="99"/>
      <c r="E163" s="99"/>
      <c r="F163" s="99"/>
      <c r="G163" s="99"/>
      <c r="H163" s="490"/>
      <c r="J163" s="692"/>
    </row>
    <row r="164" spans="1:12" s="2" customFormat="1">
      <c r="A164" s="559"/>
      <c r="B164" s="273" t="s">
        <v>1662</v>
      </c>
      <c r="C164" s="99"/>
      <c r="D164" s="99"/>
      <c r="E164" s="99"/>
      <c r="F164" s="99"/>
      <c r="G164" s="99"/>
      <c r="H164" s="490"/>
      <c r="J164" s="692"/>
      <c r="L164"/>
    </row>
    <row r="165" spans="1:12" s="2" customFormat="1">
      <c r="A165" s="559"/>
      <c r="B165" s="273" t="s">
        <v>1519</v>
      </c>
      <c r="C165" s="99"/>
      <c r="D165" s="99"/>
      <c r="E165" s="99"/>
      <c r="F165" s="99"/>
      <c r="G165" s="99"/>
      <c r="H165" s="490"/>
      <c r="J165" s="692"/>
    </row>
    <row r="166" spans="1:12" s="2" customFormat="1">
      <c r="A166" s="559"/>
      <c r="B166" s="273" t="s">
        <v>1520</v>
      </c>
      <c r="C166" s="99"/>
      <c r="D166" s="99"/>
      <c r="E166" s="99"/>
      <c r="F166" s="99"/>
      <c r="G166" s="99"/>
      <c r="H166" s="490"/>
      <c r="J166" s="692"/>
      <c r="L166"/>
    </row>
    <row r="167" spans="1:12" s="2" customFormat="1">
      <c r="A167" s="559"/>
      <c r="B167" s="273" t="s">
        <v>1521</v>
      </c>
      <c r="C167" s="99"/>
      <c r="D167" s="99"/>
      <c r="E167" s="99"/>
      <c r="F167" s="99"/>
      <c r="G167" s="99"/>
      <c r="H167" s="490"/>
      <c r="J167" s="692"/>
      <c r="K167"/>
      <c r="L167"/>
    </row>
    <row r="168" spans="1:12" s="2" customFormat="1" ht="12" customHeight="1">
      <c r="A168" s="559"/>
      <c r="B168" s="99"/>
      <c r="C168" s="99"/>
      <c r="D168" s="99"/>
      <c r="E168" s="99"/>
      <c r="F168" s="99"/>
      <c r="G168" s="99"/>
      <c r="H168" s="490"/>
      <c r="J168" s="692"/>
      <c r="L168"/>
    </row>
    <row r="169" spans="1:12" s="3" customFormat="1" ht="13.8">
      <c r="A169" s="394"/>
      <c r="B169" s="273" t="s">
        <v>1824</v>
      </c>
      <c r="C169" s="99"/>
      <c r="D169" s="99"/>
      <c r="E169" s="99"/>
      <c r="F169" s="99"/>
      <c r="G169" s="99"/>
      <c r="H169" s="490"/>
      <c r="J169" s="692"/>
    </row>
    <row r="170" spans="1:12" s="3" customFormat="1" ht="16.2">
      <c r="A170" s="394"/>
      <c r="B170" s="273" t="s">
        <v>1349</v>
      </c>
      <c r="C170" s="99"/>
      <c r="D170" s="99"/>
      <c r="E170" s="99"/>
      <c r="F170" s="99"/>
      <c r="G170" s="99"/>
      <c r="H170" s="490"/>
      <c r="J170" s="692"/>
    </row>
    <row r="171" spans="1:12" s="3" customFormat="1" ht="13.8">
      <c r="A171" s="394"/>
      <c r="B171" s="273" t="s">
        <v>1348</v>
      </c>
      <c r="C171" s="99"/>
      <c r="D171" s="99"/>
      <c r="E171" s="99"/>
      <c r="F171" s="99"/>
      <c r="G171" s="99"/>
      <c r="H171" s="490"/>
      <c r="J171" s="692"/>
    </row>
    <row r="172" spans="1:12" s="3" customFormat="1" ht="13.8">
      <c r="A172" s="394"/>
      <c r="B172" s="343" t="s">
        <v>359</v>
      </c>
      <c r="C172" s="343"/>
      <c r="D172" s="343"/>
      <c r="E172" s="343"/>
      <c r="F172" s="343"/>
      <c r="G172" s="343"/>
      <c r="H172" s="433"/>
      <c r="J172" s="692"/>
    </row>
    <row r="173" spans="1:12" s="3" customFormat="1" ht="13.8">
      <c r="A173" s="394"/>
      <c r="B173" s="273" t="s">
        <v>1210</v>
      </c>
      <c r="C173" s="343"/>
      <c r="D173" s="343"/>
      <c r="E173" s="343"/>
      <c r="F173" s="343"/>
      <c r="G173" s="343"/>
      <c r="H173" s="433"/>
      <c r="J173" s="692"/>
    </row>
    <row r="174" spans="1:12" s="3" customFormat="1">
      <c r="A174" s="394"/>
      <c r="B174" s="343"/>
      <c r="C174" s="343"/>
      <c r="D174" s="343"/>
      <c r="E174" s="107"/>
      <c r="F174" s="343"/>
      <c r="G174" s="1874" t="s">
        <v>95</v>
      </c>
      <c r="H174" s="433"/>
      <c r="J174" s="692"/>
    </row>
    <row r="175" spans="1:12" s="3" customFormat="1" ht="13.8">
      <c r="A175" s="394"/>
      <c r="B175" s="337" t="s">
        <v>363</v>
      </c>
      <c r="C175" s="343"/>
      <c r="D175" s="343"/>
      <c r="E175" s="343"/>
      <c r="F175" s="343"/>
      <c r="G175" s="99"/>
      <c r="H175" s="433"/>
      <c r="J175" s="692"/>
    </row>
    <row r="176" spans="1:12" s="3" customFormat="1">
      <c r="A176" s="394"/>
      <c r="B176" s="341"/>
      <c r="C176" s="343"/>
      <c r="D176" s="343"/>
      <c r="E176" s="343"/>
      <c r="F176" s="343"/>
      <c r="G176" s="99"/>
      <c r="H176" s="433"/>
      <c r="J176" s="692"/>
    </row>
    <row r="177" spans="1:12" s="3" customFormat="1">
      <c r="A177" s="394"/>
      <c r="B177" s="835" t="s">
        <v>1211</v>
      </c>
      <c r="C177" s="343"/>
      <c r="D177" s="343"/>
      <c r="E177" s="343"/>
      <c r="F177" s="341"/>
      <c r="G177" s="341"/>
      <c r="H177" s="563"/>
      <c r="J177" s="692"/>
    </row>
    <row r="178" spans="1:12" s="3" customFormat="1">
      <c r="A178" s="394"/>
      <c r="B178" s="337"/>
      <c r="C178" s="343"/>
      <c r="D178" s="343"/>
      <c r="E178" s="107"/>
      <c r="F178" s="341"/>
      <c r="G178" s="341"/>
      <c r="H178" s="563"/>
      <c r="J178" s="692"/>
    </row>
    <row r="179" spans="1:12" s="78" customFormat="1" ht="13.8">
      <c r="A179" s="505"/>
      <c r="B179" s="1050" t="s">
        <v>2821</v>
      </c>
      <c r="C179" s="1174"/>
      <c r="D179" s="1174"/>
      <c r="E179" s="1174"/>
      <c r="F179" s="1174"/>
      <c r="G179" s="1174"/>
      <c r="H179" s="1175"/>
      <c r="J179" s="696"/>
    </row>
    <row r="180" spans="1:12" s="78" customFormat="1" ht="13.8">
      <c r="A180" s="505"/>
      <c r="B180" s="1050" t="s">
        <v>2820</v>
      </c>
      <c r="C180" s="1174"/>
      <c r="D180" s="1174"/>
      <c r="E180" s="1174"/>
      <c r="F180" s="1174"/>
      <c r="G180" s="1174"/>
      <c r="H180" s="1175"/>
      <c r="J180" s="696"/>
    </row>
    <row r="181" spans="1:12" s="3" customFormat="1">
      <c r="A181" s="394"/>
      <c r="B181" s="336"/>
      <c r="C181" s="341"/>
      <c r="D181" s="344" t="s">
        <v>357</v>
      </c>
      <c r="E181" s="341"/>
      <c r="F181" s="341"/>
      <c r="G181" s="341"/>
      <c r="H181" s="563"/>
      <c r="J181" s="692"/>
    </row>
    <row r="182" spans="1:12" s="3" customFormat="1">
      <c r="A182" s="394"/>
      <c r="B182" s="337" t="s">
        <v>1678</v>
      </c>
      <c r="C182" s="341"/>
      <c r="D182" s="344" t="s">
        <v>358</v>
      </c>
      <c r="E182" s="341"/>
      <c r="F182" s="341"/>
      <c r="G182" s="341"/>
      <c r="H182" s="563"/>
      <c r="J182" s="692"/>
    </row>
    <row r="183" spans="1:12" s="3" customFormat="1">
      <c r="A183" s="394"/>
      <c r="B183" s="337" t="s">
        <v>1679</v>
      </c>
      <c r="C183" s="107"/>
      <c r="D183" s="107"/>
      <c r="E183" s="107"/>
      <c r="F183" s="107"/>
      <c r="G183" s="107"/>
      <c r="H183" s="417"/>
      <c r="J183" s="692"/>
    </row>
    <row r="184" spans="1:12" s="3" customFormat="1">
      <c r="A184" s="394"/>
      <c r="B184" s="107"/>
      <c r="C184" s="107"/>
      <c r="D184" s="105" t="s">
        <v>303</v>
      </c>
      <c r="E184" s="107"/>
      <c r="F184" s="107"/>
      <c r="G184" s="107"/>
      <c r="H184" s="417"/>
      <c r="J184" s="692"/>
    </row>
    <row r="185" spans="1:12" s="3" customFormat="1" ht="16.8">
      <c r="A185" s="394"/>
      <c r="B185" s="826" t="s">
        <v>1212</v>
      </c>
      <c r="C185" s="111" t="s">
        <v>362</v>
      </c>
      <c r="D185" s="54">
        <f>D42/(2*PI())</f>
        <v>1.0545716823644548E-34</v>
      </c>
      <c r="E185" s="110" t="s">
        <v>1825</v>
      </c>
      <c r="F185" s="107"/>
      <c r="G185" s="107"/>
      <c r="H185" s="417"/>
      <c r="J185" s="692"/>
    </row>
    <row r="186" spans="1:12" s="3" customFormat="1">
      <c r="A186" s="394"/>
      <c r="B186" s="570" t="s">
        <v>1901</v>
      </c>
      <c r="C186" s="107"/>
      <c r="D186" s="107"/>
      <c r="E186" s="107"/>
      <c r="F186" s="107"/>
      <c r="G186" s="1865" t="s">
        <v>442</v>
      </c>
      <c r="H186" s="417"/>
      <c r="J186" s="692"/>
    </row>
    <row r="187" spans="1:12" s="3" customFormat="1">
      <c r="A187" s="394"/>
      <c r="B187" s="107"/>
      <c r="C187" s="341"/>
      <c r="D187" s="346" t="s">
        <v>3</v>
      </c>
      <c r="E187" s="107"/>
      <c r="F187" s="107"/>
      <c r="G187" s="1893" t="s">
        <v>456</v>
      </c>
      <c r="H187" s="417"/>
      <c r="J187" s="692"/>
    </row>
    <row r="188" spans="1:12" s="3" customFormat="1">
      <c r="A188" s="394"/>
      <c r="B188" s="681" t="s">
        <v>391</v>
      </c>
      <c r="C188" s="111" t="s">
        <v>309</v>
      </c>
      <c r="D188" s="317">
        <v>1</v>
      </c>
      <c r="E188" s="107"/>
      <c r="F188" s="107"/>
      <c r="G188" s="130" t="s">
        <v>439</v>
      </c>
      <c r="H188" s="417"/>
      <c r="J188" s="692"/>
    </row>
    <row r="189" spans="1:12" s="3" customFormat="1">
      <c r="A189" s="394"/>
      <c r="B189" s="107"/>
      <c r="C189" s="107"/>
      <c r="D189" s="107"/>
      <c r="E189" s="107"/>
      <c r="F189" s="107"/>
      <c r="G189" s="130" t="s">
        <v>445</v>
      </c>
      <c r="H189" s="417"/>
      <c r="J189" s="692"/>
    </row>
    <row r="190" spans="1:12" s="3" customFormat="1">
      <c r="A190" s="394"/>
      <c r="B190" s="107"/>
      <c r="C190" s="343"/>
      <c r="D190" s="346" t="s">
        <v>4</v>
      </c>
      <c r="E190" s="343"/>
      <c r="F190" s="107"/>
      <c r="G190" s="130" t="s">
        <v>440</v>
      </c>
      <c r="H190" s="417"/>
      <c r="J190" s="692"/>
      <c r="K190"/>
      <c r="L190"/>
    </row>
    <row r="191" spans="1:12" s="3" customFormat="1" ht="15.75" customHeight="1">
      <c r="A191" s="394"/>
      <c r="B191" s="111" t="s">
        <v>360</v>
      </c>
      <c r="C191" s="111" t="s">
        <v>361</v>
      </c>
      <c r="D191" s="1370">
        <f>D188*D185</f>
        <v>1.0545716823644548E-34</v>
      </c>
      <c r="E191" s="343" t="s">
        <v>1663</v>
      </c>
      <c r="F191" s="107"/>
      <c r="G191" s="130" t="s">
        <v>449</v>
      </c>
      <c r="H191" s="417"/>
      <c r="J191" s="692"/>
      <c r="L191"/>
    </row>
    <row r="192" spans="1:12" s="3" customFormat="1" ht="13.2" customHeight="1">
      <c r="A192" s="394"/>
      <c r="B192" s="1307" t="s">
        <v>1902</v>
      </c>
      <c r="C192" s="107"/>
      <c r="D192" s="107"/>
      <c r="E192" s="107"/>
      <c r="F192" s="107"/>
      <c r="G192" s="130" t="s">
        <v>441</v>
      </c>
      <c r="H192" s="490"/>
      <c r="J192" s="692"/>
    </row>
    <row r="193" spans="1:13" s="636" customFormat="1" ht="15" customHeight="1">
      <c r="A193" s="2443"/>
      <c r="B193" s="2445" t="s">
        <v>2944</v>
      </c>
      <c r="C193" s="2438"/>
      <c r="D193" s="2439"/>
      <c r="E193" s="2440"/>
      <c r="F193" s="2440"/>
      <c r="G193" s="2441"/>
      <c r="H193" s="2444"/>
      <c r="J193" s="1285"/>
    </row>
    <row r="194" spans="1:13" s="3" customFormat="1" ht="16.8" customHeight="1">
      <c r="A194" s="500"/>
      <c r="B194" s="486"/>
      <c r="C194" s="486"/>
      <c r="D194" s="486"/>
      <c r="E194" s="486"/>
      <c r="F194" s="486"/>
      <c r="G194" s="486"/>
      <c r="H194" s="1881" t="s">
        <v>2788</v>
      </c>
      <c r="J194" s="692"/>
      <c r="L194"/>
    </row>
    <row r="195" spans="1:13" s="3" customFormat="1">
      <c r="A195" s="394"/>
      <c r="B195" s="99" t="s">
        <v>1313</v>
      </c>
      <c r="C195" s="107"/>
      <c r="D195" s="107"/>
      <c r="E195" s="107"/>
      <c r="F195" s="107"/>
      <c r="G195" s="107"/>
      <c r="H195" s="417"/>
      <c r="J195" s="692"/>
    </row>
    <row r="196" spans="1:13" s="3" customFormat="1">
      <c r="A196" s="394"/>
      <c r="B196" s="99" t="s">
        <v>1610</v>
      </c>
      <c r="C196" s="107"/>
      <c r="D196" s="107"/>
      <c r="E196" s="107"/>
      <c r="F196" s="107"/>
      <c r="G196" s="107"/>
      <c r="H196" s="417"/>
      <c r="J196" s="692"/>
    </row>
    <row r="197" spans="1:13" s="3" customFormat="1" ht="16.5" customHeight="1">
      <c r="A197" s="394"/>
      <c r="B197" s="551" t="s">
        <v>1917</v>
      </c>
      <c r="C197" s="107"/>
      <c r="D197" s="99"/>
      <c r="E197" s="509"/>
      <c r="F197" s="587" t="s">
        <v>1918</v>
      </c>
      <c r="G197" s="48"/>
      <c r="H197" s="417"/>
      <c r="J197" s="692"/>
    </row>
    <row r="198" spans="1:13" s="3" customFormat="1" ht="16.5" customHeight="1">
      <c r="A198" s="394"/>
      <c r="B198" s="551" t="s">
        <v>1921</v>
      </c>
      <c r="C198" s="370"/>
      <c r="D198" s="371"/>
      <c r="E198" s="621"/>
      <c r="F198" s="587" t="s">
        <v>1920</v>
      </c>
      <c r="G198" s="377"/>
      <c r="H198" s="558"/>
      <c r="J198" s="692"/>
    </row>
    <row r="199" spans="1:13" s="3" customFormat="1" ht="27">
      <c r="A199" s="394"/>
      <c r="B199" s="851" t="s">
        <v>1922</v>
      </c>
      <c r="C199" s="372" t="s">
        <v>550</v>
      </c>
      <c r="D199" s="373"/>
      <c r="E199" s="2360"/>
      <c r="F199" s="99"/>
      <c r="G199" s="1428"/>
      <c r="H199" s="558"/>
      <c r="J199" s="1427"/>
      <c r="K199" s="17"/>
    </row>
    <row r="200" spans="1:13" s="3" customFormat="1" ht="16.5" customHeight="1">
      <c r="A200" s="394"/>
      <c r="B200" s="1429" t="s">
        <v>1923</v>
      </c>
      <c r="C200" s="625" t="s">
        <v>672</v>
      </c>
      <c r="D200" s="374"/>
      <c r="E200" s="108"/>
      <c r="F200" s="587" t="s">
        <v>1918</v>
      </c>
      <c r="G200" s="375"/>
      <c r="H200" s="558"/>
      <c r="J200" s="692"/>
      <c r="M200"/>
    </row>
    <row r="201" spans="1:13" s="2" customFormat="1" ht="16.5" customHeight="1">
      <c r="A201" s="559"/>
      <c r="B201" s="607"/>
      <c r="C201" s="577"/>
      <c r="D201" s="347"/>
      <c r="E201" s="2361"/>
      <c r="F201" s="587" t="s">
        <v>1919</v>
      </c>
      <c r="G201" s="376"/>
      <c r="H201" s="558"/>
      <c r="J201" s="692"/>
    </row>
    <row r="202" spans="1:13" s="2" customFormat="1" ht="18" customHeight="1">
      <c r="A202" s="559"/>
      <c r="B202" s="1894" t="s">
        <v>2161</v>
      </c>
      <c r="C202" s="577"/>
      <c r="D202" s="578"/>
      <c r="E202" s="347"/>
      <c r="F202" s="347"/>
      <c r="G202" s="1882" t="s">
        <v>2148</v>
      </c>
      <c r="H202" s="558"/>
      <c r="J202" s="692"/>
    </row>
    <row r="203" spans="1:13" s="1263" customFormat="1">
      <c r="A203" s="1262"/>
      <c r="B203" s="108" t="s">
        <v>1213</v>
      </c>
      <c r="C203" s="621"/>
      <c r="D203" s="621"/>
      <c r="E203" s="621"/>
      <c r="F203" s="621"/>
      <c r="G203" s="621"/>
      <c r="H203" s="1886"/>
      <c r="J203" s="693"/>
    </row>
    <row r="204" spans="1:13" s="1263" customFormat="1">
      <c r="A204" s="1262"/>
      <c r="B204" s="108" t="s">
        <v>1214</v>
      </c>
      <c r="C204" s="621"/>
      <c r="D204" s="621"/>
      <c r="E204" s="621"/>
      <c r="F204" s="621"/>
      <c r="G204" s="621"/>
      <c r="H204" s="1886"/>
      <c r="J204" s="693"/>
      <c r="K204" s="70"/>
    </row>
    <row r="205" spans="1:13" s="1263" customFormat="1">
      <c r="A205" s="1262"/>
      <c r="B205" s="108" t="s">
        <v>1215</v>
      </c>
      <c r="C205" s="621"/>
      <c r="D205" s="621"/>
      <c r="E205" s="621"/>
      <c r="F205" s="621"/>
      <c r="G205" s="621"/>
      <c r="H205" s="1886"/>
      <c r="J205" s="693"/>
    </row>
    <row r="206" spans="1:13" s="2" customFormat="1" ht="15" customHeight="1">
      <c r="A206" s="559"/>
      <c r="B206" s="99"/>
      <c r="C206" s="347"/>
      <c r="D206" s="347"/>
      <c r="E206" s="347"/>
      <c r="F206" s="347"/>
      <c r="G206" s="347"/>
      <c r="H206" s="558"/>
      <c r="J206" s="692"/>
    </row>
    <row r="207" spans="1:13" s="2" customFormat="1">
      <c r="A207" s="559"/>
      <c r="B207" s="122" t="s">
        <v>645</v>
      </c>
      <c r="C207" s="347"/>
      <c r="D207" s="399" t="s">
        <v>388</v>
      </c>
      <c r="E207" s="347"/>
      <c r="F207" s="347"/>
      <c r="G207" s="400" t="s">
        <v>383</v>
      </c>
      <c r="H207" s="558"/>
      <c r="J207" s="692"/>
    </row>
    <row r="208" spans="1:13" s="2" customFormat="1" ht="15" customHeight="1">
      <c r="A208" s="559"/>
      <c r="B208" s="99"/>
      <c r="C208" s="347"/>
      <c r="D208" s="347"/>
      <c r="E208" s="347"/>
      <c r="F208" s="347"/>
      <c r="G208" s="347"/>
      <c r="H208" s="558"/>
      <c r="J208" s="692"/>
    </row>
    <row r="209" spans="1:10" s="2" customFormat="1">
      <c r="A209" s="559"/>
      <c r="B209" s="347"/>
      <c r="C209" s="347"/>
      <c r="D209" s="349" t="s">
        <v>455</v>
      </c>
      <c r="E209" s="350"/>
      <c r="F209" s="350"/>
      <c r="G209" s="273"/>
      <c r="H209" s="558"/>
      <c r="J209" s="692"/>
    </row>
    <row r="210" spans="1:10">
      <c r="A210" s="414"/>
      <c r="B210" s="110" t="s">
        <v>545</v>
      </c>
      <c r="C210" s="1896" t="s">
        <v>309</v>
      </c>
      <c r="D210" s="1899" t="s">
        <v>1641</v>
      </c>
      <c r="E210" s="1901"/>
      <c r="F210" s="1899" t="s">
        <v>1667</v>
      </c>
      <c r="G210" s="1902"/>
      <c r="H210" s="384"/>
    </row>
    <row r="211" spans="1:10">
      <c r="A211" s="414"/>
      <c r="B211" s="110" t="s">
        <v>546</v>
      </c>
      <c r="C211" s="383"/>
      <c r="D211" s="123"/>
      <c r="E211" s="351"/>
      <c r="F211" s="273" t="s">
        <v>1668</v>
      </c>
      <c r="G211" s="384"/>
      <c r="H211" s="384"/>
    </row>
    <row r="212" spans="1:10">
      <c r="A212" s="414"/>
      <c r="B212" s="110" t="s">
        <v>547</v>
      </c>
      <c r="C212" s="383"/>
      <c r="D212" s="123"/>
      <c r="E212" s="351"/>
      <c r="F212" s="273" t="s">
        <v>389</v>
      </c>
      <c r="G212" s="384"/>
      <c r="H212" s="384"/>
    </row>
    <row r="213" spans="1:10" ht="16.8">
      <c r="A213" s="414"/>
      <c r="B213" s="110" t="s">
        <v>548</v>
      </c>
      <c r="C213" s="385"/>
      <c r="D213" s="395"/>
      <c r="E213" s="386"/>
      <c r="F213" s="387" t="s">
        <v>2380</v>
      </c>
      <c r="G213" s="393"/>
      <c r="H213" s="490"/>
    </row>
    <row r="214" spans="1:10">
      <c r="A214" s="414"/>
      <c r="B214" s="107"/>
      <c r="C214" s="107"/>
      <c r="D214" s="107"/>
      <c r="E214" s="107"/>
      <c r="F214" s="107"/>
      <c r="G214" s="107"/>
      <c r="H214" s="417"/>
    </row>
    <row r="215" spans="1:10">
      <c r="A215" s="414"/>
      <c r="B215" s="953" t="s">
        <v>561</v>
      </c>
      <c r="C215" s="1895" t="s">
        <v>1219</v>
      </c>
      <c r="D215" s="107"/>
      <c r="E215" s="351"/>
      <c r="F215" s="273"/>
      <c r="G215" s="273"/>
      <c r="H215" s="490"/>
    </row>
    <row r="216" spans="1:10">
      <c r="A216" s="414"/>
      <c r="B216" s="343"/>
      <c r="C216" s="1896" t="s">
        <v>384</v>
      </c>
      <c r="D216" s="1897" t="s">
        <v>644</v>
      </c>
      <c r="E216" s="1898"/>
      <c r="F216" s="1899" t="s">
        <v>2386</v>
      </c>
      <c r="G216" s="1900"/>
      <c r="H216" s="490"/>
    </row>
    <row r="217" spans="1:10">
      <c r="A217" s="414"/>
      <c r="B217" s="343"/>
      <c r="C217" s="383"/>
      <c r="D217" s="107"/>
      <c r="E217" s="349"/>
      <c r="F217" s="273" t="s">
        <v>1664</v>
      </c>
      <c r="G217" s="384"/>
      <c r="H217" s="490"/>
      <c r="I217" s="27"/>
    </row>
    <row r="218" spans="1:10">
      <c r="A218" s="414"/>
      <c r="B218" s="117"/>
      <c r="C218" s="398"/>
      <c r="D218" s="387"/>
      <c r="E218" s="390"/>
      <c r="F218" s="387"/>
      <c r="G218" s="393"/>
      <c r="H218" s="580"/>
      <c r="I218" s="27"/>
    </row>
    <row r="219" spans="1:10">
      <c r="A219" s="414"/>
      <c r="B219" s="117"/>
      <c r="C219" s="107"/>
      <c r="D219" s="107"/>
      <c r="E219" s="107"/>
      <c r="F219" s="107"/>
      <c r="G219" s="107"/>
      <c r="H219" s="417"/>
      <c r="I219" s="27"/>
    </row>
    <row r="220" spans="1:10">
      <c r="A220" s="414"/>
      <c r="B220" s="117"/>
      <c r="C220" s="107"/>
      <c r="D220" s="349" t="s">
        <v>454</v>
      </c>
      <c r="E220" s="351"/>
      <c r="F220" s="273"/>
      <c r="G220" s="273"/>
      <c r="H220" s="490"/>
    </row>
    <row r="221" spans="1:10">
      <c r="A221" s="414"/>
      <c r="B221" s="107"/>
      <c r="C221" s="378" t="s">
        <v>385</v>
      </c>
      <c r="D221" s="381" t="s">
        <v>647</v>
      </c>
      <c r="E221" s="380"/>
      <c r="F221" s="381" t="s">
        <v>1221</v>
      </c>
      <c r="G221" s="388"/>
      <c r="H221" s="384"/>
    </row>
    <row r="222" spans="1:10">
      <c r="A222" s="414"/>
      <c r="B222" s="99"/>
      <c r="C222" s="383"/>
      <c r="D222" s="123"/>
      <c r="E222" s="351"/>
      <c r="F222" s="273" t="s">
        <v>1220</v>
      </c>
      <c r="G222" s="384"/>
      <c r="H222" s="384"/>
    </row>
    <row r="223" spans="1:10">
      <c r="A223" s="414"/>
      <c r="B223" s="99"/>
      <c r="C223" s="389"/>
      <c r="D223" s="392"/>
      <c r="E223" s="386"/>
      <c r="F223" s="387" t="s">
        <v>1222</v>
      </c>
      <c r="G223" s="393"/>
      <c r="H223" s="384"/>
    </row>
    <row r="224" spans="1:10">
      <c r="A224" s="414"/>
      <c r="B224" s="99"/>
      <c r="C224" s="107"/>
      <c r="D224" s="107"/>
      <c r="E224" s="107"/>
      <c r="F224" s="107"/>
      <c r="G224" s="107"/>
      <c r="H224" s="417"/>
    </row>
    <row r="225" spans="1:8">
      <c r="A225" s="414"/>
      <c r="B225" s="579"/>
      <c r="C225" s="107"/>
      <c r="D225" s="349" t="s">
        <v>453</v>
      </c>
      <c r="E225" s="351"/>
      <c r="F225" s="273"/>
      <c r="G225" s="273"/>
      <c r="H225" s="384"/>
    </row>
    <row r="226" spans="1:8" ht="14.25" customHeight="1">
      <c r="A226" s="414"/>
      <c r="B226" s="107"/>
      <c r="C226" s="1137" t="s">
        <v>386</v>
      </c>
      <c r="D226" s="1138" t="s">
        <v>387</v>
      </c>
      <c r="E226" s="1258"/>
      <c r="F226" s="1136" t="s">
        <v>1689</v>
      </c>
      <c r="G226" s="382"/>
      <c r="H226" s="384"/>
    </row>
    <row r="227" spans="1:8" hidden="1">
      <c r="A227" s="414"/>
      <c r="B227" s="99"/>
      <c r="C227" s="383" t="s">
        <v>386</v>
      </c>
      <c r="D227" s="273" t="s">
        <v>646</v>
      </c>
      <c r="E227" s="99"/>
      <c r="F227" s="491" t="s">
        <v>390</v>
      </c>
      <c r="G227" s="384"/>
      <c r="H227" s="384"/>
    </row>
    <row r="228" spans="1:8">
      <c r="A228" s="414"/>
      <c r="B228" s="99"/>
      <c r="C228" s="394"/>
      <c r="D228" s="99"/>
      <c r="E228" s="99"/>
      <c r="F228" s="491" t="s">
        <v>1690</v>
      </c>
      <c r="G228" s="384"/>
      <c r="H228" s="384"/>
    </row>
    <row r="229" spans="1:8">
      <c r="A229" s="414"/>
      <c r="B229" s="347"/>
      <c r="C229" s="394"/>
      <c r="D229" s="99"/>
      <c r="E229" s="99"/>
      <c r="F229" s="491" t="s">
        <v>1666</v>
      </c>
      <c r="G229" s="384"/>
      <c r="H229" s="490"/>
    </row>
    <row r="230" spans="1:8">
      <c r="A230" s="414"/>
      <c r="B230" s="1882" t="s">
        <v>2156</v>
      </c>
      <c r="C230" s="389"/>
      <c r="D230" s="395"/>
      <c r="E230" s="395"/>
      <c r="F230" s="512" t="s">
        <v>1665</v>
      </c>
      <c r="G230" s="401"/>
      <c r="H230" s="581"/>
    </row>
    <row r="231" spans="1:8" ht="13.8" customHeight="1">
      <c r="A231" s="389"/>
      <c r="B231" s="395"/>
      <c r="C231" s="502"/>
      <c r="D231" s="502"/>
      <c r="E231" s="502"/>
      <c r="F231" s="395"/>
      <c r="G231" s="502"/>
      <c r="H231" s="499"/>
    </row>
    <row r="232" spans="1:8" ht="15.6">
      <c r="A232" s="485"/>
      <c r="B232" s="954"/>
      <c r="C232" s="391"/>
      <c r="D232" s="391"/>
      <c r="E232" s="391"/>
      <c r="F232" s="486"/>
      <c r="G232" s="391"/>
      <c r="H232" s="487" t="s">
        <v>2787</v>
      </c>
    </row>
    <row r="233" spans="1:8">
      <c r="A233" s="414"/>
      <c r="B233" s="349" t="s">
        <v>394</v>
      </c>
      <c r="C233" s="107"/>
      <c r="D233" s="107"/>
      <c r="E233" s="107"/>
      <c r="F233" s="107"/>
      <c r="G233" s="107"/>
      <c r="H233" s="417"/>
    </row>
    <row r="234" spans="1:8">
      <c r="A234" s="414"/>
      <c r="B234" s="99"/>
      <c r="C234" s="99" t="s">
        <v>1829</v>
      </c>
      <c r="D234" s="27"/>
      <c r="E234" s="99"/>
      <c r="F234" s="99"/>
      <c r="G234" s="99"/>
      <c r="H234" s="490"/>
    </row>
    <row r="235" spans="1:8" ht="16.8">
      <c r="A235" s="414"/>
      <c r="B235" s="99"/>
      <c r="C235" s="111" t="s">
        <v>395</v>
      </c>
      <c r="D235" s="110" t="s">
        <v>2387</v>
      </c>
      <c r="E235" s="99"/>
      <c r="F235" s="99"/>
      <c r="G235" s="99"/>
      <c r="H235" s="490"/>
    </row>
    <row r="236" spans="1:8">
      <c r="A236" s="414"/>
      <c r="B236" s="99"/>
      <c r="C236" s="111"/>
      <c r="D236" s="110" t="s">
        <v>2388</v>
      </c>
      <c r="E236" s="99"/>
      <c r="F236" s="99"/>
      <c r="G236" s="99"/>
      <c r="H236" s="490"/>
    </row>
    <row r="237" spans="1:8">
      <c r="A237" s="414"/>
      <c r="B237" s="107"/>
      <c r="C237" s="111" t="s">
        <v>396</v>
      </c>
      <c r="D237" s="110" t="s">
        <v>398</v>
      </c>
      <c r="E237" s="347"/>
      <c r="F237" s="99"/>
      <c r="G237" s="99"/>
      <c r="H237" s="490"/>
    </row>
    <row r="238" spans="1:8">
      <c r="A238" s="414"/>
      <c r="B238" s="99"/>
      <c r="C238" s="111" t="s">
        <v>397</v>
      </c>
      <c r="D238" s="110" t="s">
        <v>2389</v>
      </c>
      <c r="E238" s="347"/>
      <c r="F238" s="99"/>
      <c r="G238" s="99"/>
      <c r="H238" s="490"/>
    </row>
    <row r="239" spans="1:8">
      <c r="A239" s="414"/>
      <c r="B239" s="99"/>
      <c r="C239" s="111"/>
      <c r="D239" s="110" t="s">
        <v>399</v>
      </c>
      <c r="E239" s="347"/>
      <c r="F239" s="99"/>
      <c r="G239" s="99"/>
      <c r="H239" s="490"/>
    </row>
    <row r="240" spans="1:8">
      <c r="A240" s="414"/>
      <c r="B240" s="99"/>
      <c r="C240" s="111" t="s">
        <v>400</v>
      </c>
      <c r="D240" s="110" t="s">
        <v>2390</v>
      </c>
      <c r="E240" s="99"/>
      <c r="F240" s="99"/>
      <c r="G240" s="99"/>
      <c r="H240" s="490"/>
    </row>
    <row r="241" spans="1:8">
      <c r="A241" s="414"/>
      <c r="B241" s="99"/>
      <c r="C241" s="111"/>
      <c r="D241" s="110" t="s">
        <v>2391</v>
      </c>
      <c r="E241" s="99"/>
      <c r="F241" s="347"/>
      <c r="G241" s="347"/>
      <c r="H241" s="558"/>
    </row>
    <row r="242" spans="1:8">
      <c r="A242" s="414"/>
      <c r="B242" s="99"/>
      <c r="C242" s="111" t="s">
        <v>402</v>
      </c>
      <c r="D242" s="110" t="s">
        <v>559</v>
      </c>
      <c r="E242" s="99"/>
      <c r="F242" s="347"/>
      <c r="G242" s="347"/>
      <c r="H242" s="558"/>
    </row>
    <row r="243" spans="1:8">
      <c r="A243" s="414"/>
      <c r="B243" s="347"/>
      <c r="C243" s="111" t="s">
        <v>401</v>
      </c>
      <c r="D243" s="110" t="s">
        <v>405</v>
      </c>
      <c r="E243" s="99"/>
      <c r="F243" s="347"/>
      <c r="G243" s="347"/>
      <c r="H243" s="558"/>
    </row>
    <row r="244" spans="1:8">
      <c r="A244" s="414"/>
      <c r="B244" s="347"/>
      <c r="C244" s="111" t="s">
        <v>403</v>
      </c>
      <c r="D244" s="110" t="s">
        <v>406</v>
      </c>
      <c r="E244" s="99"/>
      <c r="F244" s="347"/>
      <c r="G244" s="347"/>
      <c r="H244" s="558"/>
    </row>
    <row r="245" spans="1:8">
      <c r="A245" s="414"/>
      <c r="B245" s="347"/>
      <c r="C245" s="111" t="s">
        <v>404</v>
      </c>
      <c r="D245" s="110" t="s">
        <v>407</v>
      </c>
      <c r="E245" s="99"/>
      <c r="F245" s="347"/>
      <c r="G245" s="347"/>
      <c r="H245" s="558"/>
    </row>
    <row r="246" spans="1:8">
      <c r="A246" s="414"/>
      <c r="B246" s="347"/>
      <c r="C246" s="107"/>
      <c r="D246" s="107"/>
      <c r="E246" s="99"/>
      <c r="F246" s="347"/>
      <c r="G246" s="347"/>
      <c r="H246" s="558"/>
    </row>
    <row r="247" spans="1:8">
      <c r="A247" s="414"/>
      <c r="B247" s="347"/>
      <c r="C247" s="111"/>
      <c r="D247" s="601" t="s">
        <v>1819</v>
      </c>
      <c r="E247" s="99"/>
      <c r="F247" s="347"/>
      <c r="G247" s="347"/>
      <c r="H247" s="558"/>
    </row>
    <row r="248" spans="1:8">
      <c r="A248" s="414"/>
      <c r="B248" s="347"/>
      <c r="C248" s="111"/>
      <c r="D248" s="110" t="s">
        <v>2392</v>
      </c>
      <c r="E248" s="99"/>
      <c r="F248" s="347"/>
      <c r="G248" s="347"/>
      <c r="H248" s="558"/>
    </row>
    <row r="249" spans="1:8">
      <c r="A249" s="414"/>
      <c r="B249" s="343"/>
      <c r="C249" s="111"/>
      <c r="D249" s="110" t="s">
        <v>2381</v>
      </c>
      <c r="E249" s="99"/>
      <c r="F249" s="107"/>
      <c r="G249" s="107"/>
      <c r="H249" s="417"/>
    </row>
    <row r="250" spans="1:8">
      <c r="A250" s="414"/>
      <c r="B250" s="99"/>
      <c r="C250" s="111"/>
      <c r="D250" s="110" t="s">
        <v>1830</v>
      </c>
      <c r="E250" s="99"/>
      <c r="F250" s="99"/>
      <c r="G250" s="107"/>
      <c r="H250" s="417"/>
    </row>
    <row r="251" spans="1:8">
      <c r="A251" s="414"/>
      <c r="B251" s="343"/>
      <c r="C251" s="111"/>
      <c r="D251" s="110"/>
      <c r="E251" s="99"/>
      <c r="F251" s="107"/>
      <c r="G251" s="107"/>
      <c r="H251" s="417"/>
    </row>
    <row r="252" spans="1:8">
      <c r="A252" s="414"/>
      <c r="B252" s="341"/>
      <c r="C252" s="111"/>
      <c r="D252" s="601" t="s">
        <v>408</v>
      </c>
      <c r="E252" s="99"/>
      <c r="F252" s="343"/>
      <c r="G252" s="107"/>
      <c r="H252" s="417"/>
    </row>
    <row r="253" spans="1:8">
      <c r="A253" s="414"/>
      <c r="B253" s="111"/>
      <c r="C253" s="111"/>
      <c r="D253" s="110" t="s">
        <v>1820</v>
      </c>
      <c r="E253" s="99"/>
      <c r="F253" s="343"/>
      <c r="G253" s="107"/>
      <c r="H253" s="417"/>
    </row>
    <row r="254" spans="1:8">
      <c r="A254" s="414"/>
      <c r="B254" s="343"/>
      <c r="C254" s="111"/>
      <c r="D254" s="110" t="s">
        <v>409</v>
      </c>
      <c r="E254" s="99"/>
      <c r="F254" s="343"/>
      <c r="G254" s="107"/>
      <c r="H254" s="417"/>
    </row>
    <row r="255" spans="1:8">
      <c r="A255" s="414"/>
      <c r="B255" s="343"/>
      <c r="C255" s="107"/>
      <c r="D255" s="99"/>
      <c r="E255" s="107"/>
      <c r="F255" s="343"/>
      <c r="G255" s="107"/>
      <c r="H255" s="417"/>
    </row>
    <row r="256" spans="1:8">
      <c r="A256" s="414"/>
      <c r="B256" s="107"/>
      <c r="C256" s="110" t="s">
        <v>2382</v>
      </c>
      <c r="D256" s="107"/>
      <c r="E256" s="107"/>
      <c r="F256" s="343"/>
      <c r="G256" s="107"/>
      <c r="H256" s="417"/>
    </row>
    <row r="257" spans="1:10">
      <c r="A257" s="414"/>
      <c r="B257" s="107"/>
      <c r="C257" s="99" t="s">
        <v>2383</v>
      </c>
      <c r="D257" s="107"/>
      <c r="E257" s="107"/>
      <c r="F257" s="343"/>
      <c r="G257" s="107"/>
      <c r="H257" s="417"/>
    </row>
    <row r="258" spans="1:10">
      <c r="A258" s="414"/>
      <c r="B258" s="1865" t="s">
        <v>443</v>
      </c>
      <c r="C258" s="107"/>
      <c r="D258" s="107"/>
      <c r="E258" s="107"/>
      <c r="F258" s="107"/>
      <c r="G258" s="107"/>
      <c r="H258" s="417"/>
    </row>
    <row r="259" spans="1:10" ht="16.2">
      <c r="A259" s="414"/>
      <c r="B259" s="348" t="s">
        <v>2728</v>
      </c>
      <c r="C259" s="107"/>
      <c r="D259" s="107"/>
      <c r="E259" s="107"/>
      <c r="F259" s="343"/>
      <c r="G259" s="107"/>
      <c r="H259" s="417"/>
    </row>
    <row r="260" spans="1:10" s="70" customFormat="1" ht="16.2">
      <c r="A260" s="329"/>
      <c r="B260" s="108" t="s">
        <v>2729</v>
      </c>
      <c r="C260" s="108"/>
      <c r="D260" s="108"/>
      <c r="E260" s="108"/>
      <c r="F260" s="664"/>
      <c r="G260" s="108"/>
      <c r="H260" s="493"/>
      <c r="J260" s="693"/>
    </row>
    <row r="261" spans="1:10">
      <c r="A261" s="414"/>
      <c r="B261" s="112" t="s">
        <v>2730</v>
      </c>
      <c r="C261" s="111"/>
      <c r="D261" s="107"/>
      <c r="E261" s="99"/>
      <c r="F261" s="107"/>
      <c r="G261" s="107"/>
      <c r="H261" s="417"/>
    </row>
    <row r="262" spans="1:10" s="53" customFormat="1">
      <c r="A262" s="333"/>
      <c r="B262" s="72"/>
      <c r="C262" s="111"/>
      <c r="D262" s="107"/>
      <c r="E262" s="99"/>
      <c r="F262" s="107"/>
      <c r="G262" s="107"/>
      <c r="H262" s="417"/>
      <c r="J262" s="693"/>
    </row>
    <row r="263" spans="1:10" s="53" customFormat="1">
      <c r="A263" s="333"/>
      <c r="B263" s="99" t="s">
        <v>2039</v>
      </c>
      <c r="C263" s="111"/>
      <c r="D263" s="107"/>
      <c r="E263" s="99"/>
      <c r="F263" s="107"/>
      <c r="G263" s="107"/>
      <c r="H263" s="417"/>
      <c r="J263" s="693"/>
    </row>
    <row r="264" spans="1:10" s="53" customFormat="1" ht="16.8">
      <c r="A264" s="333"/>
      <c r="B264" s="99" t="s">
        <v>412</v>
      </c>
      <c r="C264" s="111"/>
      <c r="D264" s="107"/>
      <c r="E264" s="99"/>
      <c r="F264" s="107"/>
      <c r="G264" s="107"/>
      <c r="H264" s="417"/>
      <c r="J264" s="693"/>
    </row>
    <row r="265" spans="1:10" s="53" customFormat="1" ht="16.8">
      <c r="A265" s="333"/>
      <c r="B265" s="99" t="s">
        <v>560</v>
      </c>
      <c r="C265" s="111"/>
      <c r="D265" s="107"/>
      <c r="E265" s="99"/>
      <c r="F265" s="107"/>
      <c r="G265" s="107"/>
      <c r="H265" s="417"/>
      <c r="J265" s="693"/>
    </row>
    <row r="266" spans="1:10" s="53" customFormat="1">
      <c r="A266" s="333"/>
      <c r="B266" s="107"/>
      <c r="C266" s="111"/>
      <c r="D266" s="107"/>
      <c r="E266" s="99"/>
      <c r="F266" s="107"/>
      <c r="G266" s="107"/>
      <c r="H266" s="417"/>
      <c r="J266" s="693"/>
    </row>
    <row r="267" spans="1:10" s="70" customFormat="1" ht="15.6">
      <c r="A267" s="329"/>
      <c r="B267" s="1390" t="s">
        <v>651</v>
      </c>
      <c r="C267" s="105"/>
      <c r="D267" s="105"/>
      <c r="E267" s="582"/>
      <c r="F267" s="351"/>
      <c r="G267" s="351"/>
      <c r="H267" s="490"/>
      <c r="J267" s="693"/>
    </row>
    <row r="268" spans="1:10" s="70" customFormat="1" ht="16.2">
      <c r="A268" s="329"/>
      <c r="B268" s="1351" t="s">
        <v>555</v>
      </c>
      <c r="C268" s="1259" t="s">
        <v>1642</v>
      </c>
      <c r="D268" s="348" t="s">
        <v>1643</v>
      </c>
      <c r="E268" s="99"/>
      <c r="F268" s="99"/>
      <c r="G268" s="99"/>
      <c r="H268" s="490"/>
      <c r="J268" s="693"/>
    </row>
    <row r="269" spans="1:10" s="70" customFormat="1" ht="13.8">
      <c r="A269" s="511"/>
      <c r="B269" s="513"/>
      <c r="C269" s="513"/>
      <c r="D269" s="513"/>
      <c r="E269" s="513"/>
      <c r="F269" s="513"/>
      <c r="G269" s="513"/>
      <c r="H269" s="499"/>
      <c r="J269" s="693"/>
    </row>
    <row r="270" spans="1:10" s="70" customFormat="1" ht="16.2" customHeight="1">
      <c r="A270" s="575"/>
      <c r="B270" s="486"/>
      <c r="C270" s="486"/>
      <c r="D270" s="486"/>
      <c r="E270" s="486"/>
      <c r="F270" s="486"/>
      <c r="G270" s="486"/>
      <c r="H270" s="487" t="s">
        <v>2786</v>
      </c>
      <c r="J270" s="693"/>
    </row>
    <row r="271" spans="1:10" s="70" customFormat="1" ht="14.4" customHeight="1">
      <c r="A271" s="329"/>
      <c r="B271" s="107"/>
      <c r="C271" s="107"/>
      <c r="D271" s="107"/>
      <c r="E271" s="107"/>
      <c r="F271" s="107"/>
      <c r="G271" s="107"/>
      <c r="H271" s="568"/>
      <c r="J271" s="693"/>
    </row>
    <row r="272" spans="1:10" s="70" customFormat="1" ht="14.4" customHeight="1">
      <c r="A272" s="329"/>
      <c r="B272" s="107"/>
      <c r="C272" s="544"/>
      <c r="D272" s="107"/>
      <c r="E272" s="107"/>
      <c r="F272" s="107"/>
      <c r="G272" s="107"/>
      <c r="H272" s="417"/>
      <c r="J272" s="693"/>
    </row>
    <row r="273" spans="1:14" s="70" customFormat="1">
      <c r="A273" s="329"/>
      <c r="B273" s="107"/>
      <c r="C273" s="107"/>
      <c r="D273" s="107"/>
      <c r="E273" s="107"/>
      <c r="F273" s="107"/>
      <c r="G273" s="107"/>
      <c r="H273" s="417"/>
      <c r="J273" s="1576" t="s">
        <v>1939</v>
      </c>
    </row>
    <row r="274" spans="1:14" s="70" customFormat="1">
      <c r="A274" s="329"/>
      <c r="B274" s="107"/>
      <c r="C274" s="107"/>
      <c r="D274" s="107"/>
      <c r="E274" s="107"/>
      <c r="F274" s="107"/>
      <c r="G274" s="107"/>
      <c r="H274" s="417"/>
      <c r="J274" s="1577" t="s">
        <v>743</v>
      </c>
      <c r="K274" s="1281"/>
      <c r="L274" s="1281"/>
      <c r="M274" s="1281"/>
      <c r="N274" s="1281"/>
    </row>
    <row r="275" spans="1:14" s="70" customFormat="1">
      <c r="A275" s="329"/>
      <c r="B275" s="107"/>
      <c r="C275" s="107"/>
      <c r="D275" s="107"/>
      <c r="E275" s="107"/>
      <c r="F275" s="107"/>
      <c r="G275" s="107"/>
      <c r="H275" s="417"/>
      <c r="J275" s="693"/>
    </row>
    <row r="276" spans="1:14" s="70" customFormat="1">
      <c r="A276" s="329"/>
      <c r="B276" s="107"/>
      <c r="C276" s="107"/>
      <c r="D276" s="107"/>
      <c r="E276" s="107"/>
      <c r="F276" s="107"/>
      <c r="G276" s="107"/>
      <c r="H276" s="417"/>
      <c r="J276" s="693"/>
    </row>
    <row r="277" spans="1:14" s="70" customFormat="1">
      <c r="A277" s="329"/>
      <c r="B277" s="107"/>
      <c r="C277" s="107"/>
      <c r="D277" s="107"/>
      <c r="E277" s="107"/>
      <c r="F277" s="107"/>
      <c r="G277" s="107"/>
      <c r="H277" s="417"/>
      <c r="J277" s="693"/>
    </row>
    <row r="278" spans="1:14" s="70" customFormat="1">
      <c r="A278" s="329"/>
      <c r="B278" s="107"/>
      <c r="C278" s="107"/>
      <c r="D278" s="107"/>
      <c r="E278" s="107"/>
      <c r="F278" s="107"/>
      <c r="G278" s="107"/>
      <c r="H278" s="417"/>
      <c r="J278" s="693"/>
    </row>
    <row r="279" spans="1:14" s="70" customFormat="1">
      <c r="A279" s="329"/>
      <c r="B279" s="107"/>
      <c r="C279" s="107"/>
      <c r="D279" s="107"/>
      <c r="E279" s="107"/>
      <c r="F279" s="107"/>
      <c r="G279" s="107"/>
      <c r="H279" s="417"/>
      <c r="J279" s="693"/>
    </row>
    <row r="280" spans="1:14" s="70" customFormat="1">
      <c r="A280" s="329"/>
      <c r="B280" s="107"/>
      <c r="C280" s="107"/>
      <c r="D280" s="107"/>
      <c r="E280" s="107"/>
      <c r="F280" s="107"/>
      <c r="G280" s="107"/>
      <c r="H280" s="417"/>
      <c r="J280" s="693"/>
    </row>
    <row r="281" spans="1:14" s="70" customFormat="1">
      <c r="A281" s="329"/>
      <c r="B281" s="107"/>
      <c r="C281" s="107"/>
      <c r="D281" s="107"/>
      <c r="E281" s="107"/>
      <c r="F281" s="107"/>
      <c r="G281" s="107"/>
      <c r="H281" s="417"/>
      <c r="J281" s="693"/>
    </row>
    <row r="282" spans="1:14" s="70" customFormat="1">
      <c r="A282" s="329"/>
      <c r="B282" s="107"/>
      <c r="C282" s="107"/>
      <c r="D282" s="107"/>
      <c r="E282" s="107"/>
      <c r="F282" s="107"/>
      <c r="G282" s="107"/>
      <c r="H282" s="417"/>
      <c r="J282" s="693"/>
    </row>
    <row r="283" spans="1:14" s="70" customFormat="1">
      <c r="A283" s="329"/>
      <c r="B283" s="107"/>
      <c r="C283" s="107"/>
      <c r="D283" s="107"/>
      <c r="E283" s="107"/>
      <c r="F283" s="107"/>
      <c r="G283" s="107"/>
      <c r="H283" s="417"/>
      <c r="J283" s="693"/>
    </row>
    <row r="284" spans="1:14" s="70" customFormat="1">
      <c r="A284" s="329"/>
      <c r="B284" s="107"/>
      <c r="C284" s="107"/>
      <c r="D284" s="107"/>
      <c r="E284" s="107"/>
      <c r="F284" s="107"/>
      <c r="G284" s="107"/>
      <c r="H284" s="417"/>
      <c r="J284" s="693"/>
    </row>
    <row r="285" spans="1:14" s="70" customFormat="1">
      <c r="A285" s="329"/>
      <c r="B285" s="107"/>
      <c r="C285" s="107"/>
      <c r="D285" s="107"/>
      <c r="E285" s="107"/>
      <c r="F285" s="107"/>
      <c r="G285" s="107"/>
      <c r="H285" s="417"/>
      <c r="J285" s="693"/>
    </row>
    <row r="286" spans="1:14" s="70" customFormat="1">
      <c r="A286" s="329"/>
      <c r="B286" s="107"/>
      <c r="C286" s="107"/>
      <c r="D286" s="107"/>
      <c r="E286" s="107"/>
      <c r="F286" s="107"/>
      <c r="G286" s="107"/>
      <c r="H286" s="417"/>
      <c r="J286"/>
    </row>
    <row r="287" spans="1:14" s="70" customFormat="1">
      <c r="A287" s="329"/>
      <c r="B287" s="107"/>
      <c r="C287" s="107"/>
      <c r="D287" s="107"/>
      <c r="E287" s="107"/>
      <c r="F287" s="107"/>
      <c r="G287" s="107"/>
      <c r="H287" s="417"/>
      <c r="J287" s="693"/>
    </row>
    <row r="288" spans="1:14" s="70" customFormat="1">
      <c r="A288" s="329"/>
      <c r="B288" s="107"/>
      <c r="C288" s="107"/>
      <c r="D288" s="107"/>
      <c r="E288" s="107"/>
      <c r="F288" s="107"/>
      <c r="G288" s="107"/>
      <c r="H288" s="417"/>
      <c r="J288" s="693"/>
    </row>
    <row r="289" spans="1:11" s="70" customFormat="1">
      <c r="A289" s="329"/>
      <c r="B289" s="107"/>
      <c r="C289" s="107"/>
      <c r="D289" s="107"/>
      <c r="E289" s="107"/>
      <c r="F289" s="107"/>
      <c r="G289" s="107"/>
      <c r="H289" s="417"/>
      <c r="J289" s="693"/>
    </row>
    <row r="290" spans="1:11" s="70" customFormat="1">
      <c r="A290" s="329"/>
      <c r="B290" s="107"/>
      <c r="C290" s="107"/>
      <c r="D290" s="107"/>
      <c r="E290" s="107"/>
      <c r="F290" s="107"/>
      <c r="G290" s="107"/>
      <c r="H290" s="417"/>
      <c r="J290" s="693"/>
    </row>
    <row r="291" spans="1:11" s="70" customFormat="1">
      <c r="A291" s="329"/>
      <c r="B291" s="107"/>
      <c r="C291" s="107"/>
      <c r="D291" s="107"/>
      <c r="E291" s="107"/>
      <c r="F291" s="107"/>
      <c r="G291" s="107"/>
      <c r="H291" s="417"/>
      <c r="J291" s="693"/>
    </row>
    <row r="292" spans="1:11" s="70" customFormat="1">
      <c r="A292" s="329"/>
      <c r="B292" s="107"/>
      <c r="C292" s="107"/>
      <c r="D292" s="107"/>
      <c r="E292" s="107"/>
      <c r="F292" s="107"/>
      <c r="G292" s="107"/>
      <c r="H292" s="417"/>
      <c r="J292" s="693"/>
    </row>
    <row r="293" spans="1:11" s="70" customFormat="1">
      <c r="A293" s="329"/>
      <c r="B293" s="107"/>
      <c r="C293" s="107"/>
      <c r="D293" s="107"/>
      <c r="E293" s="107"/>
      <c r="F293" s="107"/>
      <c r="G293" s="107"/>
      <c r="H293" s="417"/>
      <c r="J293" s="693"/>
    </row>
    <row r="294" spans="1:11" s="70" customFormat="1">
      <c r="A294" s="329"/>
      <c r="B294" s="107"/>
      <c r="C294" s="107"/>
      <c r="D294" s="107"/>
      <c r="E294" s="107"/>
      <c r="F294" s="107"/>
      <c r="G294" s="107"/>
      <c r="H294" s="417"/>
      <c r="J294" s="693"/>
    </row>
    <row r="295" spans="1:11" s="70" customFormat="1">
      <c r="A295" s="329"/>
      <c r="B295" s="107"/>
      <c r="C295" s="107"/>
      <c r="D295" s="107"/>
      <c r="E295" s="107"/>
      <c r="F295" s="107"/>
      <c r="G295" s="107"/>
      <c r="H295" s="417"/>
      <c r="J295" s="693"/>
    </row>
    <row r="296" spans="1:11" s="70" customFormat="1">
      <c r="A296" s="329"/>
      <c r="B296" s="107"/>
      <c r="C296" s="107"/>
      <c r="D296" s="107"/>
      <c r="E296" s="107"/>
      <c r="F296" s="107"/>
      <c r="G296" s="107"/>
      <c r="H296" s="417"/>
      <c r="J296" s="693"/>
    </row>
    <row r="297" spans="1:11" s="70" customFormat="1" ht="16.8" customHeight="1">
      <c r="A297" s="329"/>
      <c r="B297" s="99"/>
      <c r="C297" s="99"/>
      <c r="D297" s="99"/>
      <c r="E297" s="99"/>
      <c r="F297" s="99"/>
      <c r="G297" s="99"/>
      <c r="H297" s="490"/>
      <c r="J297" s="693"/>
    </row>
    <row r="298" spans="1:11" s="70" customFormat="1" ht="13.8">
      <c r="A298" s="329"/>
      <c r="B298" s="108"/>
      <c r="C298" s="108"/>
      <c r="D298" s="99"/>
      <c r="E298" s="99"/>
      <c r="F298" s="99"/>
      <c r="G298" s="99"/>
      <c r="H298" s="490"/>
      <c r="J298" s="693"/>
      <c r="K298" s="634"/>
    </row>
    <row r="299" spans="1:11" s="70" customFormat="1" ht="17.399999999999999" customHeight="1">
      <c r="A299" s="329"/>
      <c r="B299" s="108"/>
      <c r="C299" s="108"/>
      <c r="D299" s="108"/>
      <c r="E299" s="108"/>
      <c r="F299" s="108"/>
      <c r="G299" s="108"/>
      <c r="H299" s="493"/>
      <c r="J299" s="693"/>
      <c r="K299" s="1984"/>
    </row>
    <row r="300" spans="1:11" s="70" customFormat="1" ht="16.8" customHeight="1">
      <c r="A300" s="329"/>
      <c r="B300" s="108"/>
      <c r="C300" s="108"/>
      <c r="D300" s="108"/>
      <c r="E300" s="108"/>
      <c r="F300" s="108"/>
      <c r="G300" s="108"/>
      <c r="H300" s="493"/>
      <c r="J300" s="693"/>
      <c r="K300" s="634"/>
    </row>
    <row r="301" spans="1:11" s="70" customFormat="1" ht="16.2" customHeight="1">
      <c r="A301" s="329"/>
      <c r="B301" s="121"/>
      <c r="C301" s="108"/>
      <c r="D301" s="108"/>
      <c r="E301" s="108"/>
      <c r="F301" s="108"/>
      <c r="G301" s="108"/>
      <c r="H301" s="493"/>
      <c r="J301" s="693"/>
    </row>
    <row r="302" spans="1:11" s="70" customFormat="1" ht="16.8" customHeight="1">
      <c r="A302" s="329"/>
      <c r="B302" s="667"/>
      <c r="C302" s="112"/>
      <c r="D302" s="112"/>
      <c r="E302" s="112"/>
      <c r="F302" s="112"/>
      <c r="G302" s="112"/>
      <c r="H302" s="493"/>
      <c r="J302" s="693"/>
    </row>
    <row r="303" spans="1:11" s="70" customFormat="1" ht="15" customHeight="1">
      <c r="A303" s="329"/>
      <c r="B303" s="667"/>
      <c r="C303" s="112"/>
      <c r="D303" s="112"/>
      <c r="E303" s="112"/>
      <c r="F303" s="112"/>
      <c r="G303" s="112"/>
      <c r="H303" s="493"/>
      <c r="J303" s="693"/>
    </row>
    <row r="304" spans="1:11" s="70" customFormat="1" ht="14.4" customHeight="1">
      <c r="A304" s="329"/>
      <c r="B304" s="1056" t="s">
        <v>446</v>
      </c>
      <c r="C304" s="507" t="s">
        <v>450</v>
      </c>
      <c r="D304" s="112"/>
      <c r="E304" s="108"/>
      <c r="F304" s="108"/>
      <c r="G304" s="108"/>
      <c r="H304" s="493"/>
      <c r="J304" s="693"/>
    </row>
    <row r="305" spans="1:12" s="70" customFormat="1" ht="14.4" customHeight="1">
      <c r="A305" s="329"/>
      <c r="B305" s="507"/>
      <c r="C305" s="507" t="s">
        <v>2070</v>
      </c>
      <c r="D305" s="112"/>
      <c r="E305" s="108"/>
      <c r="F305" s="108"/>
      <c r="G305" s="108"/>
      <c r="H305" s="493"/>
      <c r="J305" s="693"/>
    </row>
    <row r="306" spans="1:12" s="70" customFormat="1" ht="14.4" customHeight="1">
      <c r="A306" s="329"/>
      <c r="B306" s="1056" t="s">
        <v>447</v>
      </c>
      <c r="C306" s="507" t="s">
        <v>451</v>
      </c>
      <c r="D306" s="108"/>
      <c r="E306" s="108"/>
      <c r="F306" s="108"/>
      <c r="G306" s="108"/>
      <c r="H306" s="493"/>
      <c r="J306" s="693"/>
    </row>
    <row r="307" spans="1:12" s="78" customFormat="1" ht="15.6" customHeight="1">
      <c r="A307" s="1264"/>
      <c r="B307" s="1983" t="s">
        <v>448</v>
      </c>
      <c r="C307" s="1113" t="s">
        <v>452</v>
      </c>
      <c r="D307" s="680"/>
      <c r="E307" s="680"/>
      <c r="F307" s="680"/>
      <c r="G307" s="680"/>
      <c r="H307" s="1265"/>
      <c r="J307" s="696"/>
    </row>
    <row r="308" spans="1:12" s="70" customFormat="1" ht="16.8" customHeight="1">
      <c r="A308" s="575"/>
      <c r="B308" s="330"/>
      <c r="C308" s="950" t="s">
        <v>458</v>
      </c>
      <c r="D308" s="330"/>
      <c r="E308" s="330"/>
      <c r="F308" s="330"/>
      <c r="G308" s="330"/>
      <c r="H308" s="1881" t="s">
        <v>2785</v>
      </c>
      <c r="J308" s="693"/>
    </row>
    <row r="309" spans="1:12" s="70" customFormat="1" ht="13.8">
      <c r="A309" s="329"/>
      <c r="B309" s="108"/>
      <c r="C309" s="738" t="s">
        <v>2040</v>
      </c>
      <c r="D309" s="108"/>
      <c r="E309" s="108"/>
      <c r="F309" s="108"/>
      <c r="G309" s="108"/>
      <c r="H309" s="493"/>
      <c r="J309" s="693"/>
    </row>
    <row r="310" spans="1:12" s="70" customFormat="1" ht="14.4" customHeight="1">
      <c r="A310" s="329"/>
      <c r="B310" s="108" t="s">
        <v>1216</v>
      </c>
      <c r="C310" s="108"/>
      <c r="D310" s="108"/>
      <c r="E310" s="108"/>
      <c r="F310" s="108"/>
      <c r="G310" s="108"/>
      <c r="H310" s="493"/>
      <c r="J310" s="693"/>
    </row>
    <row r="311" spans="1:12" s="70" customFormat="1" ht="14.4" customHeight="1">
      <c r="A311" s="329"/>
      <c r="B311" s="348" t="s">
        <v>1246</v>
      </c>
      <c r="C311" s="108"/>
      <c r="D311" s="108"/>
      <c r="E311" s="108"/>
      <c r="F311" s="108"/>
      <c r="G311" s="108"/>
      <c r="H311" s="331"/>
      <c r="J311" s="693"/>
    </row>
    <row r="312" spans="1:12" s="53" customFormat="1" ht="14.4" customHeight="1">
      <c r="A312" s="333"/>
      <c r="B312" s="108" t="s">
        <v>1248</v>
      </c>
      <c r="C312" s="508"/>
      <c r="D312" s="508"/>
      <c r="E312" s="508"/>
      <c r="F312" s="508"/>
      <c r="G312" s="508"/>
      <c r="H312" s="493"/>
      <c r="J312" s="693"/>
    </row>
    <row r="313" spans="1:12" s="70" customFormat="1" ht="14.4" customHeight="1">
      <c r="A313" s="329"/>
      <c r="B313" s="108" t="s">
        <v>1249</v>
      </c>
      <c r="C313" s="108"/>
      <c r="D313" s="108"/>
      <c r="E313" s="108"/>
      <c r="F313" s="108"/>
      <c r="G313" s="99"/>
      <c r="H313" s="493"/>
      <c r="J313" s="693"/>
    </row>
    <row r="314" spans="1:12" s="70" customFormat="1" ht="14.4" customHeight="1">
      <c r="A314" s="329"/>
      <c r="B314" s="507" t="s">
        <v>1247</v>
      </c>
      <c r="C314" s="108"/>
      <c r="D314" s="108"/>
      <c r="E314" s="108"/>
      <c r="F314" s="108"/>
      <c r="G314" s="108"/>
      <c r="H314" s="493"/>
      <c r="J314" s="693"/>
    </row>
    <row r="315" spans="1:12" s="70" customFormat="1" ht="16.2" customHeight="1">
      <c r="A315" s="329"/>
      <c r="B315" s="551" t="s">
        <v>1250</v>
      </c>
      <c r="C315" s="585" t="s">
        <v>159</v>
      </c>
      <c r="D315" s="122" t="s">
        <v>465</v>
      </c>
      <c r="E315" s="112" t="s">
        <v>2893</v>
      </c>
      <c r="F315" s="112"/>
      <c r="G315" s="112"/>
      <c r="H315" s="490"/>
      <c r="J315" s="693"/>
    </row>
    <row r="316" spans="1:12" s="3" customFormat="1" ht="13.8">
      <c r="A316" s="394"/>
      <c r="B316" s="99"/>
      <c r="C316" s="122"/>
      <c r="D316" s="99"/>
      <c r="E316" s="507" t="s">
        <v>2896</v>
      </c>
      <c r="F316" s="99"/>
      <c r="G316" s="99"/>
      <c r="H316" s="490"/>
      <c r="J316" s="692"/>
    </row>
    <row r="317" spans="1:12" s="3" customFormat="1">
      <c r="A317" s="394"/>
      <c r="B317" s="124" t="s">
        <v>1871</v>
      </c>
      <c r="C317" s="585" t="s">
        <v>159</v>
      </c>
      <c r="D317" s="122" t="s">
        <v>466</v>
      </c>
      <c r="E317" s="99" t="s">
        <v>2895</v>
      </c>
      <c r="F317" s="99"/>
      <c r="G317" s="99"/>
      <c r="H317" s="490"/>
      <c r="J317" s="692"/>
    </row>
    <row r="318" spans="1:12" s="3" customFormat="1">
      <c r="A318" s="394"/>
      <c r="B318" s="124" t="s">
        <v>1872</v>
      </c>
      <c r="C318" s="585" t="s">
        <v>159</v>
      </c>
      <c r="D318" s="122" t="s">
        <v>467</v>
      </c>
      <c r="E318" s="99" t="s">
        <v>2914</v>
      </c>
      <c r="F318" s="99"/>
      <c r="G318" s="99"/>
      <c r="H318" s="490"/>
      <c r="J318" s="692"/>
    </row>
    <row r="319" spans="1:12" s="3" customFormat="1">
      <c r="A319" s="394"/>
      <c r="B319" s="99"/>
      <c r="C319" s="99"/>
      <c r="D319" s="99"/>
      <c r="E319" s="99" t="s">
        <v>2894</v>
      </c>
      <c r="F319" s="99"/>
      <c r="G319" s="99"/>
      <c r="H319" s="490"/>
      <c r="J319" s="692"/>
      <c r="L319"/>
    </row>
    <row r="320" spans="1:12" s="3" customFormat="1" ht="15.6">
      <c r="A320" s="394"/>
      <c r="B320" s="1887" t="s">
        <v>1800</v>
      </c>
      <c r="C320" s="99"/>
      <c r="D320" s="99"/>
      <c r="E320" s="507" t="s">
        <v>2913</v>
      </c>
      <c r="F320" s="99"/>
      <c r="G320" s="99"/>
      <c r="H320" s="490"/>
      <c r="J320" s="692"/>
    </row>
    <row r="321" spans="1:11" s="22" customFormat="1" ht="15.6" customHeight="1">
      <c r="A321" s="501"/>
      <c r="B321" s="122" t="s">
        <v>473</v>
      </c>
      <c r="C321" s="124" t="s">
        <v>1868</v>
      </c>
      <c r="D321" s="1888"/>
      <c r="E321" s="100"/>
      <c r="F321" s="100"/>
      <c r="G321" s="112"/>
      <c r="H321" s="504"/>
      <c r="J321" s="1889"/>
    </row>
    <row r="322" spans="1:11" s="3" customFormat="1" ht="15" customHeight="1">
      <c r="A322" s="394"/>
      <c r="B322" s="1882" t="s">
        <v>480</v>
      </c>
      <c r="C322" s="931" t="s">
        <v>1391</v>
      </c>
      <c r="D322" s="99"/>
      <c r="E322" s="99"/>
      <c r="F322" s="99"/>
      <c r="G322" s="99"/>
      <c r="H322" s="490"/>
      <c r="J322" s="692"/>
    </row>
    <row r="323" spans="1:11" ht="15.6">
      <c r="A323" s="414"/>
      <c r="B323" s="111" t="s">
        <v>1171</v>
      </c>
      <c r="C323" s="110" t="s">
        <v>461</v>
      </c>
      <c r="D323" s="99"/>
      <c r="E323" s="99"/>
      <c r="F323" s="99"/>
      <c r="G323" s="2055"/>
      <c r="H323" s="490"/>
    </row>
    <row r="324" spans="1:11" ht="15.6">
      <c r="A324" s="414"/>
      <c r="B324" s="111" t="s">
        <v>1172</v>
      </c>
      <c r="C324" s="110" t="s">
        <v>462</v>
      </c>
      <c r="D324" s="99"/>
      <c r="E324" s="99"/>
      <c r="F324" s="99"/>
      <c r="G324" s="99"/>
      <c r="H324" s="490"/>
      <c r="K324" s="10"/>
    </row>
    <row r="325" spans="1:11" ht="15.6">
      <c r="A325" s="414"/>
      <c r="B325" s="111" t="s">
        <v>1173</v>
      </c>
      <c r="C325" s="110" t="s">
        <v>463</v>
      </c>
      <c r="D325" s="99"/>
      <c r="E325" s="99"/>
      <c r="F325" s="99"/>
      <c r="G325" s="99"/>
      <c r="H325" s="490"/>
    </row>
    <row r="326" spans="1:11" ht="15.6">
      <c r="A326" s="414"/>
      <c r="B326" s="111" t="s">
        <v>1174</v>
      </c>
      <c r="C326" s="110" t="s">
        <v>464</v>
      </c>
      <c r="D326" s="99"/>
      <c r="E326" s="99"/>
      <c r="F326" s="99"/>
      <c r="G326" s="110"/>
      <c r="H326" s="490"/>
    </row>
    <row r="327" spans="1:11" ht="15.6">
      <c r="A327" s="414"/>
      <c r="B327" s="111" t="s">
        <v>1175</v>
      </c>
      <c r="C327" s="110" t="s">
        <v>459</v>
      </c>
      <c r="D327" s="99"/>
      <c r="E327" s="99"/>
      <c r="F327" s="99"/>
      <c r="G327" s="107"/>
      <c r="H327" s="490"/>
    </row>
    <row r="328" spans="1:11" ht="15.6">
      <c r="A328" s="414"/>
      <c r="B328" s="111" t="s">
        <v>1176</v>
      </c>
      <c r="C328" s="110" t="s">
        <v>460</v>
      </c>
      <c r="D328" s="99"/>
      <c r="E328" s="99"/>
      <c r="F328" s="99"/>
      <c r="G328" s="107"/>
      <c r="H328" s="490"/>
    </row>
    <row r="329" spans="1:11">
      <c r="A329" s="414"/>
      <c r="B329" s="122" t="s">
        <v>472</v>
      </c>
      <c r="C329" s="124" t="s">
        <v>474</v>
      </c>
      <c r="D329" s="99"/>
      <c r="E329" s="99"/>
      <c r="F329" s="99"/>
      <c r="G329" s="107"/>
      <c r="H329" s="490"/>
    </row>
    <row r="330" spans="1:11" ht="18">
      <c r="A330" s="414"/>
      <c r="B330" s="111" t="s">
        <v>1177</v>
      </c>
      <c r="C330" s="110" t="s">
        <v>482</v>
      </c>
      <c r="D330" s="99"/>
      <c r="E330" s="99"/>
      <c r="F330" s="99"/>
      <c r="G330" s="99"/>
      <c r="H330" s="490"/>
    </row>
    <row r="331" spans="1:11" ht="18">
      <c r="A331" s="414"/>
      <c r="B331" s="111" t="s">
        <v>1178</v>
      </c>
      <c r="C331" s="110" t="s">
        <v>483</v>
      </c>
      <c r="D331" s="99"/>
      <c r="E331" s="99"/>
      <c r="F331" s="99"/>
      <c r="G331" s="99"/>
      <c r="H331" s="490"/>
    </row>
    <row r="332" spans="1:11" ht="18">
      <c r="A332" s="414"/>
      <c r="B332" s="111" t="s">
        <v>1179</v>
      </c>
      <c r="C332" s="110" t="s">
        <v>484</v>
      </c>
      <c r="D332" s="99"/>
      <c r="E332" s="99"/>
      <c r="F332" s="99"/>
      <c r="G332" s="99"/>
      <c r="H332" s="490"/>
    </row>
    <row r="333" spans="1:11">
      <c r="A333" s="414"/>
      <c r="B333" s="111" t="s">
        <v>1180</v>
      </c>
      <c r="C333" s="110" t="s">
        <v>485</v>
      </c>
      <c r="D333" s="99"/>
      <c r="E333" s="99"/>
      <c r="F333" s="99"/>
      <c r="G333" s="99"/>
      <c r="H333" s="490"/>
    </row>
    <row r="334" spans="1:11" ht="15.6">
      <c r="A334" s="414"/>
      <c r="B334" s="111" t="s">
        <v>1181</v>
      </c>
      <c r="C334" s="110" t="s">
        <v>486</v>
      </c>
      <c r="D334" s="99"/>
      <c r="E334" s="99"/>
      <c r="F334" s="99"/>
      <c r="G334" s="99"/>
      <c r="H334" s="490"/>
    </row>
    <row r="335" spans="1:11" ht="15.6">
      <c r="A335" s="414"/>
      <c r="B335" s="111" t="s">
        <v>1182</v>
      </c>
      <c r="C335" s="110" t="s">
        <v>487</v>
      </c>
      <c r="D335" s="99"/>
      <c r="E335" s="99"/>
      <c r="F335" s="99"/>
      <c r="G335" s="99"/>
      <c r="H335" s="490"/>
    </row>
    <row r="336" spans="1:11" ht="15.6">
      <c r="A336" s="414"/>
      <c r="B336" s="1344" t="s">
        <v>1799</v>
      </c>
      <c r="C336" s="273" t="s">
        <v>475</v>
      </c>
      <c r="D336" s="99"/>
      <c r="E336" s="99"/>
      <c r="F336" s="99"/>
      <c r="G336" s="570" t="s">
        <v>1835</v>
      </c>
      <c r="H336" s="490"/>
    </row>
    <row r="337" spans="1:13" ht="15.6">
      <c r="A337" s="414"/>
      <c r="B337" s="111" t="s">
        <v>1183</v>
      </c>
      <c r="C337" s="110" t="s">
        <v>1686</v>
      </c>
      <c r="D337" s="99"/>
      <c r="E337" s="99"/>
      <c r="F337" s="99"/>
      <c r="G337" s="99"/>
      <c r="H337" s="490"/>
    </row>
    <row r="338" spans="1:13" ht="15.6">
      <c r="A338" s="414"/>
      <c r="B338" s="111" t="s">
        <v>1184</v>
      </c>
      <c r="C338" s="110" t="s">
        <v>1686</v>
      </c>
      <c r="D338" s="99"/>
      <c r="E338" s="99"/>
      <c r="F338" s="99"/>
      <c r="G338" s="99"/>
      <c r="H338" s="490"/>
    </row>
    <row r="339" spans="1:13" ht="18">
      <c r="A339" s="414"/>
      <c r="B339" s="111" t="s">
        <v>1185</v>
      </c>
      <c r="C339" s="110" t="s">
        <v>1687</v>
      </c>
      <c r="D339" s="99"/>
      <c r="E339" s="99"/>
      <c r="F339" s="99"/>
      <c r="G339" s="99"/>
      <c r="H339" s="490"/>
    </row>
    <row r="340" spans="1:13" ht="18">
      <c r="A340" s="414"/>
      <c r="B340" s="111" t="s">
        <v>1186</v>
      </c>
      <c r="C340" s="110" t="s">
        <v>1688</v>
      </c>
      <c r="D340" s="99"/>
      <c r="E340" s="99"/>
      <c r="F340" s="99"/>
      <c r="G340" s="99"/>
      <c r="H340" s="490"/>
    </row>
    <row r="341" spans="1:13" ht="15.6">
      <c r="A341" s="414"/>
      <c r="B341" s="111" t="s">
        <v>1187</v>
      </c>
      <c r="C341" s="110" t="s">
        <v>2377</v>
      </c>
      <c r="D341" s="99"/>
      <c r="E341" s="99"/>
      <c r="F341" s="99"/>
      <c r="G341" s="99"/>
      <c r="H341" s="490"/>
    </row>
    <row r="342" spans="1:13" ht="18">
      <c r="A342" s="414"/>
      <c r="B342" s="111" t="s">
        <v>1188</v>
      </c>
      <c r="C342" s="110" t="s">
        <v>1855</v>
      </c>
      <c r="D342" s="99"/>
      <c r="E342" s="99"/>
      <c r="F342" s="99"/>
      <c r="G342" s="99"/>
      <c r="H342" s="490"/>
    </row>
    <row r="343" spans="1:13" s="592" customFormat="1" ht="16.8" customHeight="1">
      <c r="A343" s="590"/>
      <c r="B343" s="1976" t="s">
        <v>2207</v>
      </c>
      <c r="C343" s="1981" t="s">
        <v>2206</v>
      </c>
      <c r="D343" s="1980" t="s">
        <v>1832</v>
      </c>
      <c r="E343" s="1977"/>
      <c r="F343" s="1979"/>
      <c r="G343" s="1978"/>
      <c r="H343" s="1265"/>
      <c r="J343" s="1890"/>
      <c r="K343" s="1891"/>
      <c r="L343" s="1891"/>
      <c r="M343" s="1891"/>
    </row>
    <row r="344" spans="1:13" ht="15.6">
      <c r="A344" s="485"/>
      <c r="B344" s="645"/>
      <c r="C344" s="391"/>
      <c r="D344" s="391"/>
      <c r="E344" s="391"/>
      <c r="F344" s="391"/>
      <c r="G344" s="391"/>
      <c r="H344" s="487" t="s">
        <v>2784</v>
      </c>
    </row>
    <row r="345" spans="1:13">
      <c r="A345" s="414"/>
      <c r="B345" s="117" t="s">
        <v>1712</v>
      </c>
      <c r="C345" s="585" t="s">
        <v>159</v>
      </c>
      <c r="D345" s="273" t="s">
        <v>2714</v>
      </c>
      <c r="E345" s="99"/>
      <c r="F345" s="99"/>
      <c r="G345" s="99"/>
      <c r="H345" s="490"/>
    </row>
    <row r="346" spans="1:13">
      <c r="A346" s="414"/>
      <c r="B346" s="99"/>
      <c r="C346" s="585" t="s">
        <v>159</v>
      </c>
      <c r="D346" s="273" t="s">
        <v>2713</v>
      </c>
      <c r="E346" s="99"/>
      <c r="F346" s="99"/>
      <c r="G346" s="99"/>
      <c r="H346" s="490"/>
    </row>
    <row r="347" spans="1:13">
      <c r="A347" s="414"/>
      <c r="B347" s="99"/>
      <c r="C347" s="273"/>
      <c r="D347" s="273" t="s">
        <v>479</v>
      </c>
      <c r="E347" s="99"/>
      <c r="F347" s="99"/>
      <c r="G347" s="99"/>
      <c r="H347" s="490"/>
    </row>
    <row r="348" spans="1:13">
      <c r="A348" s="414"/>
      <c r="B348" s="507" t="s">
        <v>2731</v>
      </c>
      <c r="C348" s="99"/>
      <c r="D348" s="99"/>
      <c r="E348" s="99"/>
      <c r="F348" s="99"/>
      <c r="G348" s="99"/>
      <c r="H348" s="490"/>
    </row>
    <row r="349" spans="1:13" ht="16.2">
      <c r="A349" s="414"/>
      <c r="B349" s="110" t="s">
        <v>2732</v>
      </c>
      <c r="C349" s="27"/>
      <c r="D349" s="27"/>
      <c r="E349" s="99"/>
      <c r="F349" s="99"/>
      <c r="G349" s="99"/>
      <c r="H349" s="490"/>
    </row>
    <row r="350" spans="1:13">
      <c r="A350" s="414"/>
      <c r="B350" s="111" t="s">
        <v>469</v>
      </c>
      <c r="C350" s="99" t="s">
        <v>494</v>
      </c>
      <c r="D350" s="99"/>
      <c r="E350" s="99"/>
      <c r="F350" s="99"/>
      <c r="G350" s="99"/>
      <c r="H350" s="490"/>
    </row>
    <row r="351" spans="1:13">
      <c r="A351" s="414"/>
      <c r="B351" s="111" t="s">
        <v>1870</v>
      </c>
      <c r="C351" s="99" t="s">
        <v>495</v>
      </c>
      <c r="D351" s="99"/>
      <c r="E351" s="99"/>
      <c r="F351" s="99"/>
      <c r="G351" s="99"/>
      <c r="H351" s="490"/>
    </row>
    <row r="352" spans="1:13">
      <c r="A352" s="414"/>
      <c r="B352" s="99"/>
      <c r="C352" s="99" t="s">
        <v>468</v>
      </c>
      <c r="D352" s="99"/>
      <c r="E352" s="99"/>
      <c r="F352" s="99"/>
      <c r="G352" s="99"/>
      <c r="H352" s="490"/>
    </row>
    <row r="353" spans="1:10">
      <c r="A353" s="414"/>
      <c r="B353" s="667" t="s">
        <v>477</v>
      </c>
      <c r="C353" s="110" t="s">
        <v>903</v>
      </c>
      <c r="D353" s="107"/>
      <c r="E353" s="99"/>
      <c r="F353" s="99"/>
      <c r="G353" s="99"/>
      <c r="H353" s="490"/>
    </row>
    <row r="354" spans="1:10">
      <c r="A354" s="414"/>
      <c r="B354" s="99"/>
      <c r="C354" s="99" t="s">
        <v>904</v>
      </c>
      <c r="D354" s="99"/>
      <c r="E354" s="99"/>
      <c r="F354" s="99"/>
      <c r="G354" s="99"/>
      <c r="H354" s="490"/>
    </row>
    <row r="355" spans="1:10">
      <c r="A355" s="414"/>
      <c r="B355" s="667" t="s">
        <v>478</v>
      </c>
      <c r="C355" s="99" t="s">
        <v>905</v>
      </c>
      <c r="D355" s="107"/>
      <c r="E355" s="99"/>
      <c r="F355" s="99"/>
      <c r="G355" s="99"/>
      <c r="H355" s="490"/>
    </row>
    <row r="356" spans="1:10">
      <c r="A356" s="414"/>
      <c r="B356" s="273" t="s">
        <v>2050</v>
      </c>
      <c r="C356" s="99"/>
      <c r="D356" s="99"/>
      <c r="E356" s="99"/>
      <c r="F356" s="99"/>
      <c r="G356" s="99"/>
      <c r="H356" s="490"/>
    </row>
    <row r="357" spans="1:10">
      <c r="A357" s="414"/>
      <c r="B357" s="122" t="s">
        <v>470</v>
      </c>
      <c r="C357" s="273" t="s">
        <v>2051</v>
      </c>
      <c r="D357" s="99"/>
      <c r="E357" s="99"/>
      <c r="F357" s="99"/>
      <c r="G357" s="99"/>
      <c r="H357" s="490"/>
    </row>
    <row r="358" spans="1:10">
      <c r="A358" s="414"/>
      <c r="B358" s="122" t="s">
        <v>471</v>
      </c>
      <c r="C358" s="273" t="s">
        <v>2052</v>
      </c>
      <c r="D358" s="99"/>
      <c r="E358" s="99"/>
      <c r="F358" s="99"/>
      <c r="G358" s="99"/>
      <c r="H358" s="490"/>
    </row>
    <row r="359" spans="1:10">
      <c r="A359" s="414"/>
      <c r="B359" s="337"/>
      <c r="C359" s="99"/>
      <c r="D359" s="99"/>
      <c r="E359" s="99"/>
      <c r="F359" s="99"/>
      <c r="G359" s="99"/>
      <c r="H359" s="490"/>
    </row>
    <row r="360" spans="1:10">
      <c r="A360" s="414"/>
      <c r="B360" s="107"/>
      <c r="C360" s="273" t="s">
        <v>906</v>
      </c>
      <c r="D360" s="99"/>
      <c r="E360" s="99"/>
      <c r="F360" s="99"/>
      <c r="G360" s="99"/>
      <c r="H360" s="490"/>
    </row>
    <row r="361" spans="1:10">
      <c r="A361" s="414"/>
      <c r="B361" s="1892" t="s">
        <v>2150</v>
      </c>
      <c r="C361" s="273" t="s">
        <v>907</v>
      </c>
      <c r="D361" s="99"/>
      <c r="E361" s="99"/>
      <c r="F361" s="99"/>
      <c r="G361" s="99"/>
      <c r="H361" s="490"/>
    </row>
    <row r="362" spans="1:10" ht="16.8">
      <c r="A362" s="414"/>
      <c r="B362" s="337"/>
      <c r="C362" s="273" t="s">
        <v>908</v>
      </c>
      <c r="D362" s="99"/>
      <c r="E362" s="99"/>
      <c r="F362" s="99"/>
      <c r="G362" s="107"/>
      <c r="H362" s="490"/>
    </row>
    <row r="363" spans="1:10">
      <c r="A363" s="414"/>
      <c r="B363" s="337"/>
      <c r="C363" s="99"/>
      <c r="D363" s="99"/>
      <c r="E363" s="99"/>
      <c r="F363" s="99"/>
      <c r="G363" s="99"/>
      <c r="H363" s="490"/>
    </row>
    <row r="364" spans="1:10">
      <c r="A364" s="414"/>
      <c r="B364" s="107"/>
      <c r="C364" s="273" t="s">
        <v>909</v>
      </c>
      <c r="D364" s="99"/>
      <c r="E364" s="99"/>
      <c r="F364" s="99"/>
      <c r="G364" s="99"/>
      <c r="H364" s="490"/>
    </row>
    <row r="365" spans="1:10">
      <c r="A365" s="414"/>
      <c r="B365" s="107"/>
      <c r="C365" s="273" t="s">
        <v>476</v>
      </c>
      <c r="D365" s="99"/>
      <c r="E365" s="99"/>
      <c r="F365" s="99"/>
      <c r="G365" s="99"/>
      <c r="H365" s="490"/>
    </row>
    <row r="366" spans="1:10">
      <c r="A366" s="414"/>
      <c r="B366" s="99"/>
      <c r="C366" s="273" t="s">
        <v>912</v>
      </c>
      <c r="D366" s="99"/>
      <c r="E366" s="99"/>
      <c r="F366" s="99"/>
      <c r="G366" s="99"/>
      <c r="H366" s="490"/>
    </row>
    <row r="367" spans="1:10" s="3" customFormat="1" ht="13.8">
      <c r="A367" s="394"/>
      <c r="B367" s="1892" t="s">
        <v>2149</v>
      </c>
      <c r="C367" s="273" t="s">
        <v>481</v>
      </c>
      <c r="D367" s="99"/>
      <c r="E367" s="99"/>
      <c r="F367" s="99"/>
      <c r="G367" s="99"/>
      <c r="H367" s="490"/>
      <c r="J367" s="692"/>
    </row>
    <row r="368" spans="1:10" s="3" customFormat="1" ht="13.8">
      <c r="A368" s="394"/>
      <c r="B368" s="99"/>
      <c r="C368" s="99"/>
      <c r="D368" s="99"/>
      <c r="E368" s="99"/>
      <c r="F368" s="99"/>
      <c r="G368" s="99"/>
      <c r="H368" s="490"/>
      <c r="J368" s="692"/>
    </row>
    <row r="369" spans="1:10" s="3" customFormat="1" ht="13.8">
      <c r="A369" s="394"/>
      <c r="B369" s="26"/>
      <c r="C369" s="273" t="s">
        <v>911</v>
      </c>
      <c r="D369" s="99"/>
      <c r="E369" s="99"/>
      <c r="F369" s="99"/>
      <c r="G369" s="99"/>
      <c r="H369" s="490"/>
      <c r="J369" s="692"/>
    </row>
    <row r="370" spans="1:10" s="3" customFormat="1" ht="13.8">
      <c r="A370" s="394"/>
      <c r="B370" s="337" t="s">
        <v>2151</v>
      </c>
      <c r="C370" s="273" t="s">
        <v>910</v>
      </c>
      <c r="D370" s="99"/>
      <c r="E370" s="99"/>
      <c r="F370" s="99"/>
      <c r="G370" s="99"/>
      <c r="H370" s="490"/>
      <c r="J370" s="692"/>
    </row>
    <row r="371" spans="1:10" s="3" customFormat="1" ht="13.8">
      <c r="A371" s="394"/>
      <c r="B371" s="99"/>
      <c r="C371" s="273"/>
      <c r="D371" s="99"/>
      <c r="E371" s="99"/>
      <c r="F371" s="99"/>
      <c r="G371" s="99"/>
      <c r="H371" s="490"/>
      <c r="J371" s="692"/>
    </row>
    <row r="372" spans="1:10" s="3" customFormat="1" ht="13.8">
      <c r="A372" s="394"/>
      <c r="B372" s="349" t="s">
        <v>488</v>
      </c>
      <c r="C372" s="99"/>
      <c r="D372" s="99"/>
      <c r="E372" s="99"/>
      <c r="F372" s="99"/>
      <c r="G372" s="99"/>
      <c r="H372" s="490"/>
      <c r="J372" s="692"/>
    </row>
    <row r="373" spans="1:10" s="3" customFormat="1" ht="13.8">
      <c r="A373" s="394"/>
      <c r="B373" s="110" t="s">
        <v>1898</v>
      </c>
      <c r="C373" s="99"/>
      <c r="D373" s="99"/>
      <c r="E373" s="99"/>
      <c r="F373" s="99"/>
      <c r="G373" s="99"/>
      <c r="H373" s="490"/>
      <c r="J373" s="692"/>
    </row>
    <row r="374" spans="1:10" s="3" customFormat="1">
      <c r="A374" s="394"/>
      <c r="B374" s="110" t="s">
        <v>1873</v>
      </c>
      <c r="C374" s="240"/>
      <c r="D374" s="99"/>
      <c r="E374" s="99"/>
      <c r="F374" s="99"/>
      <c r="G374" s="99"/>
      <c r="H374" s="490"/>
      <c r="J374" s="692"/>
    </row>
    <row r="375" spans="1:10" s="3" customFormat="1" ht="15">
      <c r="A375" s="394"/>
      <c r="B375" s="122" t="s">
        <v>489</v>
      </c>
      <c r="C375" s="99" t="s">
        <v>1860</v>
      </c>
      <c r="D375" s="99"/>
      <c r="E375" s="99"/>
      <c r="F375" s="99"/>
      <c r="G375" s="99"/>
      <c r="H375" s="490"/>
      <c r="J375" s="692"/>
    </row>
    <row r="376" spans="1:10" s="3" customFormat="1">
      <c r="A376" s="394"/>
      <c r="B376" s="122" t="s">
        <v>490</v>
      </c>
      <c r="C376" s="99" t="s">
        <v>1826</v>
      </c>
      <c r="D376" s="99"/>
      <c r="E376" s="99"/>
      <c r="F376" s="99"/>
      <c r="G376" s="99"/>
      <c r="H376" s="490"/>
      <c r="J376" s="692"/>
    </row>
    <row r="377" spans="1:10" s="3" customFormat="1" ht="13.8">
      <c r="A377" s="394"/>
      <c r="B377" s="184"/>
      <c r="C377" s="99" t="s">
        <v>1874</v>
      </c>
      <c r="D377" s="99"/>
      <c r="E377" s="99"/>
      <c r="F377" s="99"/>
      <c r="G377" s="99"/>
      <c r="H377" s="490"/>
      <c r="J377" s="692"/>
    </row>
    <row r="378" spans="1:10" s="3" customFormat="1">
      <c r="A378" s="394"/>
      <c r="B378" s="122" t="s">
        <v>491</v>
      </c>
      <c r="C378" s="99" t="s">
        <v>1228</v>
      </c>
      <c r="D378" s="99"/>
      <c r="E378" s="99"/>
      <c r="F378" s="99"/>
      <c r="G378" s="99"/>
      <c r="H378" s="490"/>
      <c r="J378" s="692"/>
    </row>
    <row r="379" spans="1:10" s="3" customFormat="1" ht="13.8">
      <c r="A379" s="394"/>
      <c r="B379" s="273"/>
      <c r="C379" s="99" t="s">
        <v>1875</v>
      </c>
      <c r="D379" s="99"/>
      <c r="E379" s="99"/>
      <c r="F379" s="99"/>
      <c r="G379" s="99"/>
      <c r="H379" s="490"/>
      <c r="J379" s="692"/>
    </row>
    <row r="380" spans="1:10" s="3" customFormat="1" ht="13.8">
      <c r="A380" s="394"/>
      <c r="B380" s="122" t="s">
        <v>492</v>
      </c>
      <c r="C380" s="99" t="s">
        <v>1217</v>
      </c>
      <c r="D380" s="99"/>
      <c r="E380" s="99"/>
      <c r="F380" s="99"/>
      <c r="G380" s="99"/>
      <c r="H380" s="490"/>
      <c r="J380" s="692"/>
    </row>
    <row r="381" spans="1:10" s="3" customFormat="1" ht="13.8">
      <c r="A381" s="394"/>
      <c r="B381" s="1883" t="s">
        <v>2152</v>
      </c>
      <c r="C381" s="99" t="s">
        <v>1218</v>
      </c>
      <c r="D381" s="99"/>
      <c r="E381" s="99"/>
      <c r="F381" s="99"/>
      <c r="G381" s="99"/>
      <c r="H381" s="490"/>
      <c r="J381" s="692"/>
    </row>
    <row r="382" spans="1:10" s="3" customFormat="1" ht="15" customHeight="1">
      <c r="A382" s="496"/>
      <c r="B382" s="1153" t="s">
        <v>493</v>
      </c>
      <c r="C382" s="1113" t="s">
        <v>1229</v>
      </c>
      <c r="D382" s="1113"/>
      <c r="E382" s="1113"/>
      <c r="F382" s="1113"/>
      <c r="G382" s="1113"/>
      <c r="H382" s="499"/>
      <c r="J382" s="692"/>
    </row>
    <row r="383" spans="1:10" s="3" customFormat="1" ht="16.8" customHeight="1">
      <c r="A383" s="500"/>
      <c r="B383" s="381"/>
      <c r="C383" s="391"/>
      <c r="D383" s="391"/>
      <c r="E383" s="391"/>
      <c r="F383" s="391"/>
      <c r="G383" s="391"/>
      <c r="H383" s="1881" t="s">
        <v>2783</v>
      </c>
      <c r="J383" s="692"/>
    </row>
    <row r="384" spans="1:10" s="70" customFormat="1" ht="13.8">
      <c r="A384" s="329"/>
      <c r="B384" s="108" t="s">
        <v>2053</v>
      </c>
      <c r="C384" s="108"/>
      <c r="D384" s="108"/>
      <c r="E384" s="108"/>
      <c r="F384" s="108"/>
      <c r="G384" s="108"/>
      <c r="H384" s="493"/>
      <c r="J384" s="693"/>
    </row>
    <row r="385" spans="1:10" s="53" customFormat="1">
      <c r="A385" s="333"/>
      <c r="B385" s="108" t="s">
        <v>2054</v>
      </c>
      <c r="C385" s="508"/>
      <c r="D385" s="508"/>
      <c r="E385" s="508"/>
      <c r="F385" s="508"/>
      <c r="G385" s="508"/>
      <c r="H385" s="331"/>
      <c r="J385" s="693"/>
    </row>
    <row r="386" spans="1:10" s="53" customFormat="1">
      <c r="A386" s="333"/>
      <c r="B386" s="108" t="s">
        <v>1230</v>
      </c>
      <c r="C386" s="108"/>
      <c r="D386" s="108"/>
      <c r="E386" s="108"/>
      <c r="F386" s="108"/>
      <c r="G386" s="108"/>
      <c r="H386" s="493"/>
      <c r="J386" s="693"/>
    </row>
    <row r="387" spans="1:10" s="53" customFormat="1">
      <c r="A387" s="333"/>
      <c r="B387" s="108" t="s">
        <v>1231</v>
      </c>
      <c r="C387" s="108"/>
      <c r="D387" s="108"/>
      <c r="E387" s="108"/>
      <c r="F387" s="108"/>
      <c r="G387" s="108"/>
      <c r="H387" s="493"/>
      <c r="J387" s="693"/>
    </row>
    <row r="388" spans="1:10" s="53" customFormat="1" ht="13.2" customHeight="1">
      <c r="A388" s="333"/>
      <c r="B388" s="108"/>
      <c r="C388" s="108"/>
      <c r="D388" s="108"/>
      <c r="E388" s="108"/>
      <c r="F388" s="108"/>
      <c r="G388" s="108"/>
      <c r="H388" s="493"/>
      <c r="J388" s="693"/>
    </row>
    <row r="389" spans="1:10">
      <c r="A389" s="414"/>
      <c r="B389" s="108" t="s">
        <v>1790</v>
      </c>
      <c r="C389" s="99"/>
      <c r="D389" s="99"/>
      <c r="E389" s="99"/>
      <c r="F389" s="99"/>
      <c r="G389" s="99"/>
      <c r="H389" s="490"/>
    </row>
    <row r="390" spans="1:10">
      <c r="A390" s="414"/>
      <c r="B390" s="108" t="s">
        <v>1789</v>
      </c>
      <c r="C390" s="99"/>
      <c r="D390" s="99"/>
      <c r="E390" s="99"/>
      <c r="F390" s="99"/>
      <c r="G390" s="99"/>
      <c r="H390" s="490"/>
    </row>
    <row r="391" spans="1:10">
      <c r="A391" s="414"/>
      <c r="B391" s="108" t="s">
        <v>2993</v>
      </c>
      <c r="C391" s="99"/>
      <c r="D391" s="99"/>
      <c r="E391" s="99"/>
      <c r="F391" s="99"/>
      <c r="G391" s="99"/>
      <c r="H391" s="490"/>
    </row>
    <row r="392" spans="1:10">
      <c r="A392" s="414"/>
      <c r="B392" s="108" t="s">
        <v>1233</v>
      </c>
      <c r="C392" s="99"/>
      <c r="D392" s="99"/>
      <c r="E392" s="99"/>
      <c r="F392" s="99"/>
      <c r="G392" s="99"/>
      <c r="H392" s="490"/>
    </row>
    <row r="393" spans="1:10">
      <c r="A393" s="414"/>
      <c r="B393" s="108" t="s">
        <v>1232</v>
      </c>
      <c r="C393" s="99"/>
      <c r="D393" s="99"/>
      <c r="E393" s="99"/>
      <c r="F393" s="99"/>
      <c r="G393" s="99"/>
      <c r="H393" s="490"/>
    </row>
    <row r="394" spans="1:10">
      <c r="A394" s="414"/>
      <c r="B394" s="1982" t="s">
        <v>2214</v>
      </c>
      <c r="C394" s="99"/>
      <c r="D394" s="99"/>
      <c r="E394" s="99"/>
      <c r="F394" s="99"/>
      <c r="G394" s="99"/>
      <c r="H394" s="490"/>
    </row>
    <row r="395" spans="1:10" ht="13.2" customHeight="1">
      <c r="A395" s="414"/>
      <c r="B395" s="110"/>
      <c r="C395" s="99"/>
      <c r="D395" s="99"/>
      <c r="E395" s="99"/>
      <c r="F395" s="99"/>
      <c r="G395" s="99"/>
      <c r="H395" s="490"/>
    </row>
    <row r="396" spans="1:10">
      <c r="A396" s="414"/>
      <c r="B396" s="110" t="s">
        <v>1234</v>
      </c>
      <c r="C396" s="99"/>
      <c r="D396" s="99"/>
      <c r="E396" s="99"/>
      <c r="F396" s="99"/>
      <c r="G396" s="99"/>
      <c r="H396" s="490"/>
    </row>
    <row r="397" spans="1:10">
      <c r="A397" s="414"/>
      <c r="B397" s="110" t="s">
        <v>2055</v>
      </c>
      <c r="C397" s="99"/>
      <c r="D397" s="99"/>
      <c r="E397" s="99"/>
      <c r="F397" s="99"/>
      <c r="G397" s="99"/>
      <c r="H397" s="490"/>
    </row>
    <row r="398" spans="1:10">
      <c r="A398" s="414"/>
      <c r="B398" s="110" t="s">
        <v>2056</v>
      </c>
      <c r="C398" s="99"/>
      <c r="D398" s="99"/>
      <c r="E398" s="99"/>
      <c r="F398" s="99"/>
      <c r="G398" s="99"/>
      <c r="H398" s="490"/>
    </row>
    <row r="399" spans="1:10">
      <c r="A399" s="414"/>
      <c r="B399" s="110" t="s">
        <v>1876</v>
      </c>
      <c r="C399" s="99"/>
      <c r="D399" s="99"/>
      <c r="E399" s="99"/>
      <c r="F399" s="99"/>
      <c r="G399" s="99"/>
      <c r="H399" s="490"/>
    </row>
    <row r="400" spans="1:10">
      <c r="A400" s="414"/>
      <c r="B400" s="110" t="s">
        <v>1235</v>
      </c>
      <c r="C400" s="99"/>
      <c r="D400" s="99"/>
      <c r="E400" s="99"/>
      <c r="F400" s="99"/>
      <c r="G400" s="99"/>
      <c r="H400" s="490"/>
    </row>
    <row r="401" spans="1:8">
      <c r="A401" s="414"/>
      <c r="B401" s="110" t="s">
        <v>1236</v>
      </c>
      <c r="C401" s="99"/>
      <c r="D401" s="99"/>
      <c r="E401" s="99"/>
      <c r="F401" s="99"/>
      <c r="G401" s="99"/>
      <c r="H401" s="490"/>
    </row>
    <row r="402" spans="1:8">
      <c r="A402" s="414"/>
      <c r="B402" s="110" t="s">
        <v>1237</v>
      </c>
      <c r="C402" s="99"/>
      <c r="D402" s="99"/>
      <c r="E402" s="99"/>
      <c r="F402" s="99"/>
      <c r="G402" s="99"/>
      <c r="H402" s="490"/>
    </row>
    <row r="403" spans="1:8">
      <c r="A403" s="414"/>
      <c r="B403" s="110" t="s">
        <v>1238</v>
      </c>
      <c r="C403" s="99"/>
      <c r="D403" s="99"/>
      <c r="E403" s="99"/>
      <c r="F403" s="99"/>
      <c r="G403" s="99"/>
      <c r="H403" s="490"/>
    </row>
    <row r="404" spans="1:8" ht="11.4" customHeight="1">
      <c r="A404" s="414"/>
      <c r="B404" s="110"/>
      <c r="C404" s="99"/>
      <c r="D404" s="99"/>
      <c r="E404" s="99"/>
      <c r="F404" s="99"/>
      <c r="G404" s="99"/>
      <c r="H404" s="490"/>
    </row>
    <row r="405" spans="1:8" ht="15.6" customHeight="1">
      <c r="A405" s="414"/>
      <c r="C405" s="1429" t="s">
        <v>2994</v>
      </c>
      <c r="D405" s="99"/>
      <c r="E405" s="99"/>
      <c r="F405" s="99"/>
      <c r="G405" s="99"/>
      <c r="H405" s="490"/>
    </row>
    <row r="406" spans="1:8">
      <c r="A406" s="414"/>
      <c r="C406" s="691"/>
      <c r="D406" s="691"/>
      <c r="E406" s="691"/>
      <c r="F406" s="691"/>
      <c r="G406" s="691"/>
      <c r="H406" s="490"/>
    </row>
    <row r="407" spans="1:8">
      <c r="A407" s="414"/>
      <c r="B407" s="492" t="s">
        <v>1239</v>
      </c>
      <c r="C407" s="273" t="s">
        <v>1803</v>
      </c>
      <c r="D407" s="273"/>
      <c r="E407" s="273"/>
      <c r="F407" s="273"/>
      <c r="G407" s="273"/>
      <c r="H407" s="490"/>
    </row>
    <row r="408" spans="1:8">
      <c r="A408" s="414"/>
      <c r="B408" s="124"/>
      <c r="C408" s="273" t="s">
        <v>2995</v>
      </c>
      <c r="D408" s="273"/>
      <c r="E408" s="273"/>
      <c r="F408" s="273"/>
      <c r="G408" s="273"/>
      <c r="H408" s="490"/>
    </row>
    <row r="409" spans="1:8">
      <c r="A409" s="414"/>
      <c r="B409" s="124"/>
      <c r="C409" s="273" t="s">
        <v>2996</v>
      </c>
      <c r="D409" s="273"/>
      <c r="E409" s="273"/>
      <c r="F409" s="273"/>
      <c r="G409" s="273"/>
      <c r="H409" s="490"/>
    </row>
    <row r="410" spans="1:8">
      <c r="A410" s="414"/>
      <c r="B410" s="1860" t="s">
        <v>2155</v>
      </c>
      <c r="C410" s="273" t="s">
        <v>2997</v>
      </c>
      <c r="D410" s="273"/>
      <c r="E410" s="273"/>
      <c r="F410" s="273"/>
      <c r="G410" s="273"/>
      <c r="H410" s="490"/>
    </row>
    <row r="411" spans="1:8">
      <c r="A411" s="414"/>
      <c r="B411" s="124"/>
      <c r="C411" s="273" t="s">
        <v>2998</v>
      </c>
      <c r="D411" s="273"/>
      <c r="E411" s="273"/>
      <c r="F411" s="273"/>
      <c r="G411" s="273"/>
      <c r="H411" s="490"/>
    </row>
    <row r="412" spans="1:8">
      <c r="A412" s="414"/>
      <c r="B412" s="273"/>
      <c r="C412" s="273" t="s">
        <v>2999</v>
      </c>
      <c r="D412" s="273"/>
      <c r="E412" s="273"/>
      <c r="F412" s="273"/>
      <c r="G412" s="273"/>
      <c r="H412" s="417"/>
    </row>
    <row r="413" spans="1:8">
      <c r="A413" s="414"/>
      <c r="B413" s="99"/>
      <c r="C413" s="273" t="s">
        <v>1801</v>
      </c>
      <c r="D413" s="99"/>
      <c r="E413" s="99"/>
      <c r="F413" s="99"/>
      <c r="G413" s="99"/>
      <c r="H413" s="417"/>
    </row>
    <row r="414" spans="1:8">
      <c r="A414" s="414"/>
      <c r="B414" s="99"/>
      <c r="C414" s="273" t="s">
        <v>1802</v>
      </c>
      <c r="D414" s="99"/>
      <c r="E414" s="99"/>
      <c r="F414" s="99"/>
      <c r="G414" s="99"/>
      <c r="H414" s="417"/>
    </row>
    <row r="415" spans="1:8" ht="15.6">
      <c r="A415" s="414"/>
      <c r="B415" s="337" t="s">
        <v>1160</v>
      </c>
      <c r="C415" s="691"/>
      <c r="D415" s="691"/>
      <c r="E415" s="691"/>
      <c r="F415" s="691"/>
      <c r="G415" s="691"/>
      <c r="H415" s="417"/>
    </row>
    <row r="416" spans="1:8" ht="16.8">
      <c r="A416" s="414"/>
      <c r="B416" s="122" t="s">
        <v>1240</v>
      </c>
      <c r="C416" s="273" t="s">
        <v>3000</v>
      </c>
      <c r="D416" s="99"/>
      <c r="E416" s="99"/>
      <c r="F416" s="99"/>
      <c r="G416" s="99"/>
      <c r="H416" s="417"/>
    </row>
    <row r="417" spans="1:10">
      <c r="A417" s="414"/>
      <c r="B417" s="99"/>
      <c r="C417" s="273" t="s">
        <v>501</v>
      </c>
      <c r="D417" s="99"/>
      <c r="E417" s="99"/>
      <c r="F417" s="99"/>
      <c r="G417" s="99"/>
      <c r="H417" s="417"/>
    </row>
    <row r="418" spans="1:10">
      <c r="A418" s="414"/>
      <c r="B418" s="99"/>
      <c r="C418" s="273" t="s">
        <v>1243</v>
      </c>
      <c r="D418" s="99"/>
      <c r="E418" s="99"/>
      <c r="F418" s="99"/>
      <c r="G418" s="99"/>
      <c r="H418" s="417"/>
    </row>
    <row r="419" spans="1:10">
      <c r="A419" s="414"/>
      <c r="B419" s="107"/>
      <c r="C419" s="273" t="s">
        <v>1244</v>
      </c>
      <c r="D419" s="99"/>
      <c r="E419" s="99"/>
      <c r="F419" s="99"/>
      <c r="G419" s="99"/>
      <c r="H419" s="417"/>
    </row>
    <row r="420" spans="1:10">
      <c r="A420" s="414"/>
      <c r="B420" s="1860" t="s">
        <v>2154</v>
      </c>
      <c r="C420" s="273" t="s">
        <v>1245</v>
      </c>
      <c r="D420" s="99"/>
      <c r="E420" s="99"/>
      <c r="F420" s="99"/>
      <c r="G420" s="99"/>
      <c r="H420" s="417"/>
    </row>
    <row r="421" spans="1:10">
      <c r="A421" s="389"/>
      <c r="B421" s="395"/>
      <c r="C421" s="387" t="s">
        <v>913</v>
      </c>
      <c r="D421" s="502"/>
      <c r="E421" s="502"/>
      <c r="F421" s="502"/>
      <c r="G421" s="502"/>
      <c r="H421" s="536"/>
    </row>
    <row r="422" spans="1:10" ht="15.6">
      <c r="A422" s="485"/>
      <c r="B422" s="391"/>
      <c r="C422" s="391"/>
      <c r="D422" s="391"/>
      <c r="E422" s="391"/>
      <c r="F422" s="391"/>
      <c r="G422" s="391"/>
      <c r="H422" s="487" t="s">
        <v>2782</v>
      </c>
    </row>
    <row r="423" spans="1:10" ht="16.8">
      <c r="A423" s="414"/>
      <c r="B423" s="122" t="s">
        <v>1241</v>
      </c>
      <c r="C423" s="273" t="s">
        <v>1569</v>
      </c>
      <c r="D423" s="273"/>
      <c r="E423" s="273"/>
      <c r="F423" s="273"/>
      <c r="G423" s="273"/>
      <c r="H423" s="417"/>
    </row>
    <row r="424" spans="1:10">
      <c r="A424" s="414"/>
      <c r="B424" s="273"/>
      <c r="C424" s="931" t="s">
        <v>1570</v>
      </c>
      <c r="D424" s="273"/>
      <c r="E424" s="273"/>
      <c r="F424" s="273"/>
      <c r="G424" s="273"/>
      <c r="H424" s="417"/>
    </row>
    <row r="425" spans="1:10" ht="16.8">
      <c r="A425" s="414"/>
      <c r="B425" s="273"/>
      <c r="C425" s="503" t="s">
        <v>1571</v>
      </c>
      <c r="D425" s="273"/>
      <c r="E425" s="273"/>
      <c r="F425" s="273"/>
      <c r="G425" s="273"/>
      <c r="H425" s="417"/>
    </row>
    <row r="426" spans="1:10">
      <c r="A426" s="414"/>
      <c r="B426" s="273"/>
      <c r="C426" s="273" t="s">
        <v>496</v>
      </c>
      <c r="D426" s="273"/>
      <c r="E426" s="273"/>
      <c r="F426" s="273"/>
      <c r="G426" s="273"/>
      <c r="H426" s="417"/>
    </row>
    <row r="427" spans="1:10">
      <c r="A427" s="414"/>
      <c r="B427" s="273"/>
      <c r="C427" s="586" t="s">
        <v>1572</v>
      </c>
      <c r="D427" s="491"/>
      <c r="E427" s="273"/>
      <c r="F427" s="273"/>
      <c r="G427" s="273"/>
      <c r="H427" s="417"/>
    </row>
    <row r="428" spans="1:10">
      <c r="A428" s="414"/>
      <c r="B428" s="273"/>
      <c r="C428" s="273" t="s">
        <v>1573</v>
      </c>
      <c r="D428" s="107"/>
      <c r="E428" s="107"/>
      <c r="F428" s="273"/>
      <c r="G428" s="273"/>
      <c r="H428" s="417"/>
      <c r="J428" s="693"/>
    </row>
    <row r="429" spans="1:10" ht="16.2">
      <c r="A429" s="414"/>
      <c r="B429" s="273"/>
      <c r="C429" s="503"/>
      <c r="D429" s="587" t="s">
        <v>497</v>
      </c>
      <c r="E429" s="273" t="s">
        <v>500</v>
      </c>
      <c r="F429" s="273"/>
      <c r="G429" s="273"/>
      <c r="H429" s="417"/>
    </row>
    <row r="430" spans="1:10" ht="16.8">
      <c r="A430" s="414"/>
      <c r="B430" s="273"/>
      <c r="C430" s="622"/>
      <c r="D430" s="587" t="s">
        <v>498</v>
      </c>
      <c r="E430" s="273" t="s">
        <v>1574</v>
      </c>
      <c r="F430" s="273"/>
      <c r="G430" s="273"/>
      <c r="H430" s="417"/>
    </row>
    <row r="431" spans="1:10">
      <c r="A431" s="414"/>
      <c r="B431" s="1874" t="s">
        <v>2153</v>
      </c>
      <c r="C431" s="622"/>
      <c r="D431" s="587" t="s">
        <v>499</v>
      </c>
      <c r="E431" s="273" t="s">
        <v>1575</v>
      </c>
      <c r="F431" s="273"/>
      <c r="G431" s="273"/>
      <c r="H431" s="417"/>
    </row>
    <row r="432" spans="1:10">
      <c r="A432" s="414"/>
      <c r="B432" s="107"/>
      <c r="C432" s="273"/>
      <c r="D432" s="273"/>
      <c r="E432" s="273"/>
      <c r="F432" s="273"/>
      <c r="G432" s="273"/>
      <c r="H432" s="417"/>
    </row>
    <row r="433" spans="1:8">
      <c r="A433" s="414"/>
      <c r="B433" s="122" t="s">
        <v>1242</v>
      </c>
      <c r="C433" s="273" t="s">
        <v>1352</v>
      </c>
      <c r="D433" s="273"/>
      <c r="E433" s="273"/>
      <c r="F433" s="273"/>
      <c r="G433" s="273"/>
      <c r="H433" s="417"/>
    </row>
    <row r="434" spans="1:8">
      <c r="A434" s="414"/>
      <c r="B434" s="99"/>
      <c r="C434" s="273" t="s">
        <v>1353</v>
      </c>
      <c r="D434" s="99"/>
      <c r="E434" s="99"/>
      <c r="F434" s="99"/>
      <c r="G434" s="99"/>
      <c r="H434" s="417"/>
    </row>
    <row r="435" spans="1:8">
      <c r="A435" s="414"/>
      <c r="B435" s="99"/>
      <c r="C435" s="273" t="s">
        <v>1354</v>
      </c>
      <c r="D435" s="99"/>
      <c r="E435" s="99"/>
      <c r="F435" s="99"/>
      <c r="G435" s="99"/>
      <c r="H435" s="417"/>
    </row>
    <row r="436" spans="1:8">
      <c r="A436" s="414"/>
      <c r="B436" s="99"/>
      <c r="C436" s="273" t="s">
        <v>2752</v>
      </c>
      <c r="D436" s="99"/>
      <c r="E436" s="99"/>
      <c r="F436" s="99"/>
      <c r="G436" s="99"/>
      <c r="H436" s="417"/>
    </row>
    <row r="437" spans="1:8">
      <c r="A437" s="414"/>
      <c r="B437" s="99"/>
      <c r="C437" s="273" t="s">
        <v>1355</v>
      </c>
      <c r="D437" s="99"/>
      <c r="E437" s="99"/>
      <c r="F437" s="99"/>
      <c r="G437" s="99"/>
      <c r="H437" s="417"/>
    </row>
    <row r="438" spans="1:8">
      <c r="A438" s="414"/>
      <c r="B438" s="99"/>
      <c r="C438" s="273" t="s">
        <v>1565</v>
      </c>
      <c r="D438" s="99"/>
      <c r="E438" s="99"/>
      <c r="F438" s="99"/>
      <c r="G438" s="99"/>
      <c r="H438" s="417"/>
    </row>
    <row r="439" spans="1:8">
      <c r="A439" s="414"/>
      <c r="B439" s="107"/>
      <c r="C439" s="273" t="s">
        <v>1566</v>
      </c>
      <c r="D439" s="99"/>
      <c r="E439" s="99"/>
      <c r="F439" s="99"/>
      <c r="G439" s="99"/>
      <c r="H439" s="417"/>
    </row>
    <row r="440" spans="1:8" ht="15.75" customHeight="1">
      <c r="A440" s="414"/>
      <c r="B440" s="570" t="s">
        <v>1350</v>
      </c>
      <c r="C440" s="273" t="s">
        <v>1568</v>
      </c>
      <c r="D440" s="99"/>
      <c r="E440" s="99"/>
      <c r="F440" s="99"/>
      <c r="G440" s="99"/>
      <c r="H440" s="417"/>
    </row>
    <row r="441" spans="1:8" ht="15" customHeight="1">
      <c r="A441" s="414"/>
      <c r="B441" s="107"/>
      <c r="C441" s="273" t="s">
        <v>1567</v>
      </c>
      <c r="D441" s="99"/>
      <c r="E441" s="99"/>
      <c r="F441" s="99"/>
      <c r="G441" s="99"/>
      <c r="H441" s="417"/>
    </row>
    <row r="442" spans="1:8">
      <c r="A442" s="414"/>
      <c r="B442" s="1139" t="s">
        <v>480</v>
      </c>
      <c r="C442" s="107"/>
      <c r="D442" s="99"/>
      <c r="E442" s="99"/>
      <c r="F442" s="99"/>
      <c r="G442" s="99"/>
      <c r="H442" s="417"/>
    </row>
    <row r="443" spans="1:8">
      <c r="A443" s="414"/>
      <c r="B443" s="107"/>
      <c r="C443" s="273" t="s">
        <v>2749</v>
      </c>
      <c r="D443" s="99"/>
      <c r="E443" s="99"/>
      <c r="F443" s="99"/>
      <c r="G443" s="99"/>
      <c r="H443" s="417"/>
    </row>
    <row r="444" spans="1:8">
      <c r="A444" s="414"/>
      <c r="B444" s="107"/>
      <c r="C444" s="273" t="s">
        <v>2745</v>
      </c>
      <c r="D444" s="99"/>
      <c r="E444" s="99"/>
      <c r="F444" s="99"/>
      <c r="G444" s="99"/>
      <c r="H444" s="417"/>
    </row>
    <row r="445" spans="1:8" ht="15" customHeight="1">
      <c r="A445" s="414"/>
      <c r="B445" s="107"/>
      <c r="C445" s="273" t="s">
        <v>2750</v>
      </c>
      <c r="D445" s="99"/>
      <c r="E445" s="99"/>
      <c r="F445" s="99"/>
      <c r="G445" s="99"/>
      <c r="H445" s="417"/>
    </row>
    <row r="446" spans="1:8">
      <c r="A446" s="414"/>
      <c r="B446" s="107"/>
      <c r="C446" s="273" t="s">
        <v>2747</v>
      </c>
      <c r="D446" s="107"/>
      <c r="E446" s="107"/>
      <c r="F446" s="107"/>
      <c r="G446" s="107"/>
      <c r="H446" s="417"/>
    </row>
    <row r="447" spans="1:8">
      <c r="A447" s="414"/>
      <c r="B447" s="107"/>
      <c r="C447" s="273" t="s">
        <v>2746</v>
      </c>
      <c r="D447" s="107"/>
      <c r="E447" s="107"/>
      <c r="F447" s="107"/>
      <c r="G447" s="107"/>
      <c r="H447" s="417"/>
    </row>
    <row r="448" spans="1:8">
      <c r="A448" s="414"/>
      <c r="B448" s="107"/>
      <c r="C448" s="273" t="s">
        <v>2753</v>
      </c>
      <c r="D448" s="107"/>
      <c r="E448" s="107"/>
      <c r="F448" s="107"/>
      <c r="G448" s="107"/>
      <c r="H448" s="417"/>
    </row>
    <row r="449" spans="1:11">
      <c r="A449" s="414"/>
      <c r="B449" s="956" t="s">
        <v>1351</v>
      </c>
      <c r="C449" s="273" t="s">
        <v>2748</v>
      </c>
      <c r="D449" s="273"/>
      <c r="E449" s="273"/>
      <c r="F449" s="273"/>
      <c r="G449" s="273"/>
      <c r="H449" s="417"/>
    </row>
    <row r="450" spans="1:11">
      <c r="A450" s="414"/>
      <c r="B450" s="342"/>
      <c r="C450" s="273" t="s">
        <v>2751</v>
      </c>
      <c r="D450" s="273"/>
      <c r="E450" s="273"/>
      <c r="F450" s="273"/>
      <c r="G450" s="273"/>
      <c r="H450" s="417"/>
    </row>
    <row r="451" spans="1:11" ht="15" customHeight="1">
      <c r="A451" s="414"/>
      <c r="B451" s="107"/>
      <c r="C451" s="273" t="s">
        <v>1359</v>
      </c>
      <c r="D451" s="273"/>
      <c r="E451" s="273"/>
      <c r="F451" s="273"/>
      <c r="G451" s="273"/>
      <c r="H451" s="417"/>
    </row>
    <row r="452" spans="1:11">
      <c r="A452" s="414"/>
      <c r="B452" s="1882" t="s">
        <v>429</v>
      </c>
      <c r="C452" s="273" t="s">
        <v>1360</v>
      </c>
      <c r="D452" s="273"/>
      <c r="E452" s="273"/>
      <c r="F452" s="273"/>
      <c r="G452" s="273"/>
      <c r="H452" s="417"/>
    </row>
    <row r="453" spans="1:11">
      <c r="A453" s="414"/>
      <c r="B453" s="107"/>
      <c r="C453" s="273" t="s">
        <v>1365</v>
      </c>
      <c r="D453" s="273"/>
      <c r="E453" s="273"/>
      <c r="F453" s="273"/>
      <c r="G453" s="273"/>
      <c r="H453" s="417"/>
    </row>
    <row r="454" spans="1:11">
      <c r="A454" s="414"/>
      <c r="B454" s="223" t="s">
        <v>515</v>
      </c>
      <c r="C454" s="273" t="s">
        <v>1361</v>
      </c>
      <c r="D454" s="273"/>
      <c r="E454" s="273"/>
      <c r="F454" s="273"/>
      <c r="G454" s="273"/>
      <c r="H454" s="417"/>
    </row>
    <row r="455" spans="1:11">
      <c r="A455" s="414"/>
      <c r="B455" s="223" t="s">
        <v>514</v>
      </c>
      <c r="C455" s="273" t="s">
        <v>1362</v>
      </c>
      <c r="D455" s="273"/>
      <c r="E455" s="273"/>
      <c r="F455" s="273"/>
      <c r="G455" s="273"/>
      <c r="H455" s="417"/>
    </row>
    <row r="456" spans="1:11">
      <c r="A456" s="414"/>
      <c r="B456" s="223" t="s">
        <v>1356</v>
      </c>
      <c r="C456" s="273" t="s">
        <v>1364</v>
      </c>
      <c r="D456" s="273"/>
      <c r="E456" s="273"/>
      <c r="F456" s="273"/>
      <c r="G456" s="273"/>
      <c r="H456" s="417"/>
    </row>
    <row r="457" spans="1:11">
      <c r="A457" s="414"/>
      <c r="B457" s="223" t="s">
        <v>1357</v>
      </c>
      <c r="C457" s="273" t="s">
        <v>1363</v>
      </c>
      <c r="D457" s="273"/>
      <c r="E457" s="273"/>
      <c r="F457" s="273"/>
      <c r="G457" s="273"/>
      <c r="H457" s="417"/>
    </row>
    <row r="458" spans="1:11">
      <c r="A458" s="414"/>
      <c r="B458" s="665" t="s">
        <v>1358</v>
      </c>
      <c r="C458" s="123" t="s">
        <v>1366</v>
      </c>
      <c r="D458" s="273"/>
      <c r="E458" s="273"/>
      <c r="F458" s="273"/>
      <c r="G458" s="588"/>
      <c r="H458" s="417"/>
    </row>
    <row r="459" spans="1:11">
      <c r="A459" s="389"/>
      <c r="B459" s="850"/>
      <c r="C459" s="392"/>
      <c r="D459" s="387"/>
      <c r="E459" s="387"/>
      <c r="F459" s="387"/>
      <c r="G459" s="589"/>
      <c r="H459" s="536"/>
    </row>
    <row r="460" spans="1:11" ht="15" customHeight="1">
      <c r="A460" s="485"/>
      <c r="B460" s="486"/>
      <c r="C460" s="486"/>
      <c r="D460" s="872"/>
      <c r="E460" s="486"/>
      <c r="F460" s="486"/>
      <c r="G460" s="486"/>
      <c r="H460" s="487" t="s">
        <v>2781</v>
      </c>
    </row>
    <row r="461" spans="1:11" s="3" customFormat="1" ht="15.6" hidden="1">
      <c r="A461" s="394"/>
      <c r="B461" s="99"/>
      <c r="C461" s="349" t="s">
        <v>1200</v>
      </c>
      <c r="D461" s="99"/>
      <c r="E461" s="99"/>
      <c r="F461" s="99"/>
      <c r="G461" s="99"/>
      <c r="H461" s="568"/>
      <c r="J461" s="692"/>
    </row>
    <row r="462" spans="1:11" s="3" customFormat="1" ht="15" customHeight="1">
      <c r="A462" s="394"/>
      <c r="B462" s="99"/>
      <c r="C462" s="99" t="s">
        <v>1192</v>
      </c>
      <c r="D462" s="100" t="s">
        <v>1191</v>
      </c>
      <c r="E462" s="99"/>
      <c r="F462" s="110" t="s">
        <v>1197</v>
      </c>
      <c r="G462" s="99"/>
      <c r="H462" s="568"/>
      <c r="J462" s="692"/>
    </row>
    <row r="463" spans="1:11" s="3" customFormat="1" ht="16.8">
      <c r="A463" s="394"/>
      <c r="B463" s="1131" t="s">
        <v>1193</v>
      </c>
      <c r="C463" s="1127">
        <v>1</v>
      </c>
      <c r="D463" s="1128" t="s">
        <v>519</v>
      </c>
      <c r="E463" s="391" t="s">
        <v>533</v>
      </c>
      <c r="F463" s="391"/>
      <c r="G463" s="388"/>
      <c r="H463" s="568"/>
      <c r="K463"/>
    </row>
    <row r="464" spans="1:11" s="3" customFormat="1" ht="16.8">
      <c r="A464" s="394"/>
      <c r="B464" s="1132" t="s">
        <v>1194</v>
      </c>
      <c r="C464" s="353" t="s">
        <v>518</v>
      </c>
      <c r="D464" s="352" t="s">
        <v>520</v>
      </c>
      <c r="E464" s="99" t="s">
        <v>2744</v>
      </c>
      <c r="F464" s="99"/>
      <c r="G464" s="490"/>
      <c r="H464" s="568"/>
      <c r="J464" s="692"/>
    </row>
    <row r="465" spans="1:15" s="3" customFormat="1" ht="16.8">
      <c r="A465" s="394"/>
      <c r="B465" s="1133" t="s">
        <v>1195</v>
      </c>
      <c r="C465" s="354" t="s">
        <v>516</v>
      </c>
      <c r="D465" s="352" t="s">
        <v>521</v>
      </c>
      <c r="E465" s="99" t="s">
        <v>534</v>
      </c>
      <c r="F465" s="99"/>
      <c r="G465" s="490"/>
      <c r="H465" s="568"/>
      <c r="J465" s="692"/>
    </row>
    <row r="466" spans="1:15" s="3" customFormat="1" ht="16.8">
      <c r="A466" s="394"/>
      <c r="B466" s="1134" t="s">
        <v>1196</v>
      </c>
      <c r="C466" s="1129" t="s">
        <v>517</v>
      </c>
      <c r="D466" s="1130" t="s">
        <v>520</v>
      </c>
      <c r="E466" s="502" t="s">
        <v>2742</v>
      </c>
      <c r="F466" s="502"/>
      <c r="G466" s="499"/>
      <c r="H466" s="490"/>
      <c r="J466" s="692"/>
      <c r="L466" s="626"/>
      <c r="M466" s="626"/>
      <c r="N466" s="626"/>
      <c r="O466" s="626"/>
    </row>
    <row r="467" spans="1:15" ht="14.4" customHeight="1">
      <c r="A467" s="414"/>
      <c r="B467" s="107"/>
      <c r="C467" s="1429" t="s">
        <v>2876</v>
      </c>
      <c r="D467" s="622"/>
      <c r="E467" s="107"/>
      <c r="F467" s="107"/>
      <c r="G467" s="107"/>
      <c r="H467" s="417"/>
      <c r="L467" s="4"/>
      <c r="M467" s="4"/>
      <c r="N467" s="1135"/>
      <c r="O467" s="4"/>
    </row>
    <row r="468" spans="1:15" ht="14.4" customHeight="1">
      <c r="A468" s="414"/>
      <c r="B468" s="107"/>
      <c r="C468" s="2437" t="s">
        <v>2942</v>
      </c>
      <c r="D468" s="100"/>
      <c r="E468" s="100"/>
      <c r="F468" s="100"/>
      <c r="G468" s="100"/>
      <c r="H468" s="417"/>
      <c r="L468" s="4"/>
      <c r="M468" s="4"/>
      <c r="N468" s="1135"/>
      <c r="O468" s="4"/>
    </row>
    <row r="469" spans="1:15" ht="14.4" customHeight="1">
      <c r="A469" s="414"/>
      <c r="B469" s="107"/>
      <c r="C469" s="2223"/>
      <c r="D469" s="100"/>
      <c r="E469" s="100"/>
      <c r="F469" s="100"/>
      <c r="G469" s="100"/>
      <c r="H469" s="417"/>
      <c r="L469" s="4"/>
      <c r="M469" s="4"/>
      <c r="N469" s="1135"/>
      <c r="O469" s="4"/>
    </row>
    <row r="470" spans="1:15" s="70" customFormat="1" ht="14.4" customHeight="1">
      <c r="A470" s="329"/>
      <c r="B470" s="108"/>
      <c r="C470" s="1114" t="s">
        <v>1198</v>
      </c>
      <c r="D470" s="108"/>
      <c r="E470" s="108"/>
      <c r="F470" s="108"/>
      <c r="G470" s="108"/>
      <c r="H470" s="493"/>
      <c r="J470" s="693"/>
      <c r="L470" s="634"/>
      <c r="M470" s="634"/>
      <c r="N470" s="634"/>
      <c r="O470" s="634"/>
    </row>
    <row r="471" spans="1:15" s="3" customFormat="1" ht="14.4" customHeight="1">
      <c r="A471" s="394"/>
      <c r="B471" s="99" t="s">
        <v>1368</v>
      </c>
      <c r="C471" s="99"/>
      <c r="D471" s="99"/>
      <c r="E471" s="99"/>
      <c r="F471" s="99"/>
      <c r="G471" s="99"/>
      <c r="H471" s="490"/>
      <c r="J471" s="692"/>
    </row>
    <row r="472" spans="1:15" s="3" customFormat="1" ht="14.4" customHeight="1">
      <c r="A472" s="394"/>
      <c r="B472" s="99" t="s">
        <v>1373</v>
      </c>
      <c r="C472" s="99"/>
      <c r="D472" s="99"/>
      <c r="E472" s="99"/>
      <c r="F472" s="99"/>
      <c r="G472" s="99"/>
      <c r="H472" s="490"/>
      <c r="J472" s="692"/>
    </row>
    <row r="473" spans="1:15" s="3" customFormat="1" ht="14.4" customHeight="1">
      <c r="A473" s="394"/>
      <c r="B473" s="99" t="s">
        <v>1369</v>
      </c>
      <c r="C473" s="99"/>
      <c r="D473" s="99"/>
      <c r="E473" s="99"/>
      <c r="F473" s="99"/>
      <c r="G473" s="99"/>
      <c r="H473" s="490"/>
      <c r="J473" s="692"/>
    </row>
    <row r="474" spans="1:15" s="3" customFormat="1" ht="14.4" customHeight="1">
      <c r="A474" s="394"/>
      <c r="B474" s="99" t="s">
        <v>1370</v>
      </c>
      <c r="C474" s="99"/>
      <c r="D474" s="99"/>
      <c r="E474" s="99"/>
      <c r="F474" s="99"/>
      <c r="G474" s="99"/>
      <c r="H474" s="490"/>
      <c r="J474" s="692"/>
    </row>
    <row r="475" spans="1:15" s="3" customFormat="1" ht="14.4" customHeight="1">
      <c r="A475" s="394"/>
      <c r="B475" s="99" t="s">
        <v>1371</v>
      </c>
      <c r="C475" s="99"/>
      <c r="D475" s="99"/>
      <c r="E475" s="99"/>
      <c r="F475" s="99"/>
      <c r="G475" s="99"/>
      <c r="H475" s="490"/>
    </row>
    <row r="476" spans="1:15" s="3" customFormat="1" ht="14.4" customHeight="1">
      <c r="A476" s="394"/>
      <c r="B476" s="99" t="s">
        <v>1372</v>
      </c>
      <c r="C476" s="99"/>
      <c r="D476" s="99"/>
      <c r="E476" s="99"/>
      <c r="F476" s="99"/>
      <c r="G476" s="99"/>
      <c r="H476" s="490"/>
    </row>
    <row r="477" spans="1:15" s="3" customFormat="1" ht="14.4" customHeight="1">
      <c r="A477" s="394"/>
      <c r="B477" s="99"/>
      <c r="C477" s="99"/>
      <c r="D477" s="99"/>
      <c r="E477" s="99"/>
      <c r="F477" s="99"/>
      <c r="G477" s="99"/>
      <c r="H477" s="490"/>
    </row>
    <row r="478" spans="1:15" s="3" customFormat="1" ht="14.4" customHeight="1">
      <c r="A478" s="394"/>
      <c r="B478" s="99" t="s">
        <v>1374</v>
      </c>
      <c r="C478" s="99"/>
      <c r="D478" s="99"/>
      <c r="E478" s="99"/>
      <c r="F478" s="99"/>
      <c r="G478" s="99"/>
      <c r="H478" s="490"/>
    </row>
    <row r="479" spans="1:15" s="3" customFormat="1" ht="14.4" customHeight="1">
      <c r="A479" s="394"/>
      <c r="B479" s="99" t="s">
        <v>1375</v>
      </c>
      <c r="C479" s="99"/>
      <c r="D479" s="99"/>
      <c r="E479" s="99"/>
      <c r="F479" s="99"/>
      <c r="G479" s="99"/>
      <c r="H479" s="490"/>
      <c r="J479" s="692"/>
    </row>
    <row r="480" spans="1:15" s="3" customFormat="1" ht="14.4" customHeight="1">
      <c r="A480" s="394"/>
      <c r="B480" s="2222"/>
      <c r="C480" s="99"/>
      <c r="D480" s="99"/>
      <c r="E480" s="99"/>
      <c r="F480" s="99"/>
      <c r="G480" s="99"/>
      <c r="H480" s="490"/>
      <c r="J480" s="692"/>
    </row>
    <row r="481" spans="1:13" s="3" customFormat="1" ht="15" customHeight="1">
      <c r="A481" s="394"/>
      <c r="B481" s="494" t="s">
        <v>1190</v>
      </c>
      <c r="C481" s="107"/>
      <c r="D481" s="107"/>
      <c r="E481" s="107"/>
      <c r="F481" s="107"/>
      <c r="G481" s="107"/>
      <c r="H481" s="490"/>
      <c r="J481" s="692"/>
    </row>
    <row r="482" spans="1:13" s="3" customFormat="1" ht="14.4" customHeight="1">
      <c r="A482" s="394"/>
      <c r="B482" s="99" t="s">
        <v>531</v>
      </c>
      <c r="C482" s="99"/>
      <c r="D482" s="99"/>
      <c r="E482" s="99"/>
      <c r="F482" s="99"/>
      <c r="G482" s="99"/>
      <c r="H482" s="490"/>
      <c r="J482" s="692"/>
    </row>
    <row r="483" spans="1:13" s="3" customFormat="1" ht="14.4" customHeight="1">
      <c r="A483" s="394"/>
      <c r="B483" s="99" t="s">
        <v>532</v>
      </c>
      <c r="C483" s="99"/>
      <c r="D483" s="99"/>
      <c r="E483" s="99"/>
      <c r="F483" s="99"/>
      <c r="G483" s="99"/>
      <c r="H483" s="490"/>
      <c r="J483" s="692"/>
    </row>
    <row r="484" spans="1:13" s="3" customFormat="1" ht="14.4" customHeight="1">
      <c r="A484" s="394"/>
      <c r="B484" s="99" t="s">
        <v>530</v>
      </c>
      <c r="C484" s="99"/>
      <c r="D484" s="99"/>
      <c r="E484" s="99"/>
      <c r="F484" s="99"/>
      <c r="G484" s="99"/>
      <c r="H484" s="490"/>
      <c r="J484" s="692"/>
    </row>
    <row r="485" spans="1:13" s="3" customFormat="1" ht="14.4" customHeight="1">
      <c r="A485" s="394"/>
      <c r="B485" s="99" t="s">
        <v>527</v>
      </c>
      <c r="C485" s="99"/>
      <c r="D485" s="99"/>
      <c r="E485" s="99"/>
      <c r="F485" s="99"/>
      <c r="G485" s="99"/>
      <c r="H485" s="490"/>
      <c r="J485" s="692"/>
    </row>
    <row r="486" spans="1:13" s="3" customFormat="1" ht="14.4" customHeight="1">
      <c r="A486" s="394"/>
      <c r="B486" s="99" t="s">
        <v>1859</v>
      </c>
      <c r="C486" s="99"/>
      <c r="D486" s="99"/>
      <c r="E486" s="99"/>
      <c r="F486" s="99"/>
      <c r="G486" s="99"/>
      <c r="H486" s="490"/>
      <c r="J486" s="692"/>
    </row>
    <row r="487" spans="1:13" s="3" customFormat="1" ht="14.4" customHeight="1">
      <c r="A487" s="394"/>
      <c r="B487" s="99" t="s">
        <v>522</v>
      </c>
      <c r="C487" s="99"/>
      <c r="D487" s="99"/>
      <c r="E487" s="99"/>
      <c r="F487" s="99"/>
      <c r="G487" s="99"/>
      <c r="H487" s="490"/>
      <c r="J487" s="692"/>
    </row>
    <row r="488" spans="1:13" s="3" customFormat="1" ht="14.4" customHeight="1">
      <c r="A488" s="394"/>
      <c r="B488" s="99" t="s">
        <v>524</v>
      </c>
      <c r="C488" s="99"/>
      <c r="D488" s="99"/>
      <c r="E488" s="99"/>
      <c r="F488" s="99"/>
      <c r="G488" s="99"/>
      <c r="H488" s="490"/>
      <c r="J488" s="692"/>
    </row>
    <row r="489" spans="1:13" s="3" customFormat="1" ht="14.4" customHeight="1">
      <c r="A489" s="394"/>
      <c r="B489" s="99" t="s">
        <v>523</v>
      </c>
      <c r="C489" s="99"/>
      <c r="D489" s="99"/>
      <c r="E489" s="99"/>
      <c r="F489" s="99"/>
      <c r="G489" s="99"/>
      <c r="H489" s="490"/>
      <c r="J489" s="692"/>
    </row>
    <row r="490" spans="1:13" s="3" customFormat="1" ht="14.4" customHeight="1">
      <c r="A490" s="394"/>
      <c r="B490" s="99" t="s">
        <v>525</v>
      </c>
      <c r="C490" s="99"/>
      <c r="D490" s="99"/>
      <c r="E490" s="99"/>
      <c r="F490" s="99"/>
      <c r="G490" s="99"/>
      <c r="H490" s="490"/>
      <c r="J490" s="692"/>
    </row>
    <row r="491" spans="1:13" s="3" customFormat="1" ht="14.4" customHeight="1">
      <c r="A491" s="394"/>
      <c r="B491" s="99" t="s">
        <v>526</v>
      </c>
      <c r="C491" s="99"/>
      <c r="D491" s="99"/>
      <c r="E491" s="99"/>
      <c r="F491" s="99"/>
      <c r="G491" s="99"/>
      <c r="H491" s="490"/>
      <c r="J491" s="692"/>
    </row>
    <row r="492" spans="1:13" s="3" customFormat="1" ht="14.4" customHeight="1">
      <c r="A492" s="394"/>
      <c r="B492" s="99" t="s">
        <v>528</v>
      </c>
      <c r="C492" s="99"/>
      <c r="D492" s="99"/>
      <c r="E492" s="99"/>
      <c r="F492" s="99"/>
      <c r="G492" s="26"/>
      <c r="H492" s="490"/>
      <c r="J492" s="692"/>
    </row>
    <row r="493" spans="1:13" s="3" customFormat="1" ht="14.4" customHeight="1">
      <c r="A493" s="394"/>
      <c r="B493" s="99" t="s">
        <v>529</v>
      </c>
      <c r="C493" s="99"/>
      <c r="D493" s="99"/>
      <c r="E493" s="99"/>
      <c r="F493" s="99"/>
      <c r="G493" s="1878" t="s">
        <v>1189</v>
      </c>
      <c r="H493" s="490"/>
      <c r="J493" s="694"/>
      <c r="K493" s="626"/>
      <c r="L493" s="626"/>
    </row>
    <row r="494" spans="1:13" s="3" customFormat="1" ht="14.4" customHeight="1">
      <c r="A494" s="394"/>
      <c r="B494" s="99" t="s">
        <v>1644</v>
      </c>
      <c r="C494" s="99"/>
      <c r="D494" s="99"/>
      <c r="E494" s="99"/>
      <c r="F494" s="99"/>
      <c r="G494" s="99"/>
      <c r="H494" s="490"/>
      <c r="J494" s="694"/>
      <c r="K494" s="13"/>
      <c r="L494" s="626"/>
    </row>
    <row r="495" spans="1:13" s="3" customFormat="1" ht="14.4" customHeight="1">
      <c r="A495" s="394"/>
      <c r="B495" s="99" t="s">
        <v>1645</v>
      </c>
      <c r="C495" s="99"/>
      <c r="D495" s="99"/>
      <c r="E495" s="99"/>
      <c r="F495" s="99"/>
      <c r="G495" s="99"/>
      <c r="H495" s="490"/>
      <c r="J495" s="694"/>
      <c r="K495" s="13"/>
      <c r="L495" s="626"/>
    </row>
    <row r="496" spans="1:13" s="3" customFormat="1" ht="14.4" customHeight="1">
      <c r="A496" s="394"/>
      <c r="B496" s="99" t="s">
        <v>1713</v>
      </c>
      <c r="C496" s="99"/>
      <c r="D496" s="99"/>
      <c r="E496" s="99"/>
      <c r="F496" s="99"/>
      <c r="G496" s="99"/>
      <c r="H496" s="490"/>
      <c r="J496" s="694"/>
      <c r="K496" s="13"/>
      <c r="L496" s="626"/>
      <c r="M496" s="27"/>
    </row>
    <row r="497" spans="1:12" s="3" customFormat="1" ht="14.4" customHeight="1">
      <c r="A497" s="394"/>
      <c r="B497" s="99" t="s">
        <v>1646</v>
      </c>
      <c r="C497" s="99"/>
      <c r="D497" s="99"/>
      <c r="E497" s="99"/>
      <c r="F497" s="99"/>
      <c r="G497" s="99"/>
      <c r="H497" s="490"/>
      <c r="J497" s="694"/>
      <c r="K497" s="13"/>
      <c r="L497" s="626"/>
    </row>
    <row r="498" spans="1:12" s="3" customFormat="1" ht="16.8" customHeight="1">
      <c r="A498" s="1096"/>
      <c r="B498" s="2369" t="s">
        <v>1740</v>
      </c>
      <c r="C498" s="2370" t="s">
        <v>159</v>
      </c>
      <c r="D498" s="513"/>
      <c r="E498" s="502"/>
      <c r="F498" s="2286" t="s">
        <v>1739</v>
      </c>
      <c r="G498" s="502"/>
      <c r="H498" s="911"/>
      <c r="J498" s="694"/>
      <c r="K498" s="626"/>
      <c r="L498" s="626"/>
    </row>
    <row r="499" spans="1:12" ht="15.6">
      <c r="A499" s="485"/>
      <c r="B499" s="2367"/>
      <c r="C499" s="391"/>
      <c r="D499" s="391"/>
      <c r="E499" s="391"/>
      <c r="F499" s="391"/>
      <c r="G499" s="391"/>
      <c r="H499" s="487" t="s">
        <v>2780</v>
      </c>
      <c r="J499" s="694"/>
      <c r="K499" s="4"/>
      <c r="L499" s="4"/>
    </row>
    <row r="500" spans="1:12" ht="15.6">
      <c r="A500" s="414"/>
      <c r="B500" s="494"/>
      <c r="C500" s="708" t="s">
        <v>2743</v>
      </c>
      <c r="D500" s="107"/>
      <c r="E500" s="99"/>
      <c r="F500" s="99"/>
      <c r="G500" s="99"/>
      <c r="H500" s="417"/>
      <c r="J500" s="694"/>
      <c r="K500" s="4"/>
      <c r="L500" s="4"/>
    </row>
    <row r="501" spans="1:12" ht="14.4" customHeight="1">
      <c r="A501" s="414"/>
      <c r="B501" s="494"/>
      <c r="C501" s="708"/>
      <c r="D501" s="107"/>
      <c r="E501" s="99"/>
      <c r="F501" s="99"/>
      <c r="G501" s="99"/>
      <c r="H501" s="417"/>
      <c r="J501" s="694"/>
      <c r="K501" s="4"/>
      <c r="L501" s="4"/>
    </row>
    <row r="502" spans="1:12">
      <c r="A502" s="414"/>
      <c r="B502" s="99" t="s">
        <v>2992</v>
      </c>
      <c r="C502" s="99"/>
      <c r="D502" s="99"/>
      <c r="E502" s="99"/>
      <c r="F502" s="99"/>
      <c r="G502" s="99"/>
      <c r="H502" s="417"/>
    </row>
    <row r="503" spans="1:12">
      <c r="A503" s="414"/>
      <c r="B503" s="824" t="s">
        <v>2794</v>
      </c>
      <c r="C503" s="99"/>
      <c r="D503" s="99"/>
      <c r="E503" s="99"/>
      <c r="F503" s="99"/>
      <c r="G503" s="99"/>
      <c r="H503" s="417"/>
    </row>
    <row r="504" spans="1:12">
      <c r="A504" s="414"/>
      <c r="B504" s="824" t="s">
        <v>2758</v>
      </c>
      <c r="C504" s="99"/>
      <c r="D504" s="99"/>
      <c r="E504" s="99"/>
      <c r="F504" s="99"/>
      <c r="G504" s="99"/>
      <c r="H504" s="417"/>
    </row>
    <row r="505" spans="1:12">
      <c r="A505" s="414"/>
      <c r="B505" s="824" t="s">
        <v>2800</v>
      </c>
      <c r="C505" s="99"/>
      <c r="D505" s="99"/>
      <c r="E505" s="99"/>
      <c r="F505" s="99"/>
      <c r="G505" s="99"/>
      <c r="H505" s="417"/>
    </row>
    <row r="506" spans="1:12">
      <c r="A506" s="414"/>
      <c r="B506" s="824" t="s">
        <v>2759</v>
      </c>
      <c r="C506" s="99"/>
      <c r="D506" s="99"/>
      <c r="E506" s="99"/>
      <c r="F506" s="99"/>
      <c r="G506" s="99"/>
      <c r="H506" s="417"/>
    </row>
    <row r="507" spans="1:12">
      <c r="A507" s="414"/>
      <c r="B507" s="824" t="s">
        <v>2760</v>
      </c>
      <c r="C507" s="99"/>
      <c r="D507" s="99"/>
      <c r="E507" s="99"/>
      <c r="F507" s="99"/>
      <c r="G507" s="99"/>
      <c r="H507" s="417"/>
      <c r="K507" s="2353"/>
    </row>
    <row r="508" spans="1:12" ht="14.4" customHeight="1">
      <c r="A508" s="414"/>
      <c r="B508" s="824" t="s">
        <v>2991</v>
      </c>
      <c r="C508" s="99"/>
      <c r="D508" s="99"/>
      <c r="E508" s="99"/>
      <c r="F508" s="99"/>
      <c r="G508" s="99"/>
      <c r="H508" s="417"/>
    </row>
    <row r="509" spans="1:12">
      <c r="A509" s="414"/>
      <c r="B509" s="824"/>
      <c r="C509" s="99"/>
      <c r="D509" s="99"/>
      <c r="E509" s="99"/>
      <c r="F509" s="99"/>
      <c r="G509" s="99"/>
      <c r="H509" s="417"/>
    </row>
    <row r="510" spans="1:12" ht="15.6" customHeight="1">
      <c r="A510" s="414"/>
      <c r="B510" s="107"/>
      <c r="C510" s="107"/>
      <c r="D510" s="494" t="s">
        <v>2754</v>
      </c>
      <c r="E510" s="99"/>
      <c r="F510" s="99"/>
      <c r="G510" s="99"/>
      <c r="H510" s="417"/>
    </row>
    <row r="511" spans="1:12" ht="15.6" customHeight="1">
      <c r="A511" s="414"/>
      <c r="B511" s="99"/>
      <c r="C511" s="99"/>
      <c r="D511" s="100" t="s">
        <v>2803</v>
      </c>
      <c r="E511" s="99"/>
      <c r="F511" s="99"/>
      <c r="G511" s="99"/>
      <c r="H511" s="417"/>
    </row>
    <row r="512" spans="1:12" ht="14.4" customHeight="1">
      <c r="A512" s="414"/>
      <c r="B512" s="99"/>
      <c r="C512" s="99"/>
      <c r="D512" s="99"/>
      <c r="E512" s="99"/>
      <c r="F512" s="99"/>
      <c r="G512" s="99"/>
      <c r="H512" s="417"/>
    </row>
    <row r="513" spans="1:15" ht="15.6" customHeight="1">
      <c r="A513" s="414"/>
      <c r="B513" s="99"/>
      <c r="C513" s="99"/>
      <c r="D513" s="105" t="s">
        <v>3</v>
      </c>
      <c r="E513" s="99"/>
      <c r="F513" s="99"/>
      <c r="G513" s="342" t="s">
        <v>2775</v>
      </c>
      <c r="H513" s="417"/>
      <c r="J513" s="2352"/>
    </row>
    <row r="514" spans="1:15" ht="15.6" customHeight="1">
      <c r="A514" s="414"/>
      <c r="B514" s="111" t="s">
        <v>2766</v>
      </c>
      <c r="C514" s="99"/>
      <c r="D514" s="843" t="s">
        <v>2767</v>
      </c>
      <c r="E514" s="99"/>
      <c r="F514" s="99"/>
      <c r="G514" s="342" t="s">
        <v>2776</v>
      </c>
      <c r="H514" s="417"/>
    </row>
    <row r="515" spans="1:15" ht="15.6" customHeight="1">
      <c r="A515" s="414"/>
      <c r="B515" s="111" t="s">
        <v>2768</v>
      </c>
      <c r="C515" s="99"/>
      <c r="D515" s="843" t="s">
        <v>2795</v>
      </c>
      <c r="E515" s="99"/>
      <c r="F515" s="99"/>
      <c r="G515" s="342" t="s">
        <v>2777</v>
      </c>
      <c r="H515" s="417"/>
    </row>
    <row r="516" spans="1:15" ht="15.6" customHeight="1">
      <c r="A516" s="414"/>
      <c r="B516" s="111" t="s">
        <v>2762</v>
      </c>
      <c r="C516" s="111" t="s">
        <v>2764</v>
      </c>
      <c r="D516" s="267">
        <v>5730</v>
      </c>
      <c r="E516" s="99" t="s">
        <v>1111</v>
      </c>
      <c r="F516" s="99"/>
      <c r="G516" s="2351" t="s">
        <v>2772</v>
      </c>
      <c r="H516" s="417"/>
      <c r="J516"/>
    </row>
    <row r="517" spans="1:15" ht="15.6" customHeight="1">
      <c r="A517" s="414"/>
      <c r="B517" s="111" t="s">
        <v>2763</v>
      </c>
      <c r="C517" s="111" t="s">
        <v>2764</v>
      </c>
      <c r="D517" s="1457">
        <f>D516*365*24*60*60</f>
        <v>180701280000</v>
      </c>
      <c r="E517" s="99" t="s">
        <v>1112</v>
      </c>
      <c r="F517" s="99"/>
      <c r="G517" s="2351" t="s">
        <v>2773</v>
      </c>
      <c r="H517" s="417"/>
    </row>
    <row r="518" spans="1:15" ht="15.6" customHeight="1">
      <c r="A518" s="414"/>
      <c r="B518" s="111" t="s">
        <v>2756</v>
      </c>
      <c r="C518" s="111" t="s">
        <v>2757</v>
      </c>
      <c r="D518" s="1457">
        <f>LN(2)/(D517)</f>
        <v>3.8358731081481286E-12</v>
      </c>
      <c r="E518" s="99" t="s">
        <v>2074</v>
      </c>
      <c r="F518" s="99"/>
      <c r="G518" s="2347"/>
      <c r="H518" s="417"/>
    </row>
    <row r="519" spans="1:15" ht="15.6" customHeight="1">
      <c r="A519" s="414"/>
      <c r="B519" s="111" t="s">
        <v>2990</v>
      </c>
      <c r="C519" s="111" t="s">
        <v>2761</v>
      </c>
      <c r="D519" s="267">
        <v>1.1999999999999999E-12</v>
      </c>
      <c r="E519" s="99"/>
      <c r="F519" s="99"/>
      <c r="G519" s="2348"/>
      <c r="H519" s="417"/>
      <c r="J519"/>
      <c r="K519" s="846"/>
      <c r="L519" s="4"/>
    </row>
    <row r="520" spans="1:15" ht="15.6" customHeight="1">
      <c r="A520" s="414"/>
      <c r="B520" s="111" t="s">
        <v>3002</v>
      </c>
      <c r="C520" s="111" t="s">
        <v>2765</v>
      </c>
      <c r="D520" s="267">
        <v>0.91600000000000004</v>
      </c>
      <c r="E520" s="99"/>
      <c r="F520" s="99"/>
      <c r="G520" s="2357" t="s">
        <v>2798</v>
      </c>
      <c r="H520" s="581"/>
    </row>
    <row r="521" spans="1:15" ht="15.6" customHeight="1">
      <c r="A521" s="414"/>
      <c r="B521" s="111" t="s">
        <v>3001</v>
      </c>
      <c r="C521" s="111" t="s">
        <v>1</v>
      </c>
      <c r="D521" s="2364">
        <f>D532*365*24*60*60</f>
        <v>165522372480.00003</v>
      </c>
      <c r="E521" s="99" t="s">
        <v>1112</v>
      </c>
      <c r="F521" s="99"/>
      <c r="G521" s="2351" t="s">
        <v>2799</v>
      </c>
      <c r="H521" s="581"/>
    </row>
    <row r="522" spans="1:15" ht="15.6" customHeight="1">
      <c r="A522" s="414"/>
      <c r="B522" s="99"/>
      <c r="C522" s="1023"/>
      <c r="E522" s="99"/>
      <c r="F522" s="99"/>
      <c r="G522" s="691"/>
      <c r="H522" s="417"/>
      <c r="K522" s="2354"/>
    </row>
    <row r="523" spans="1:15" ht="15.6" customHeight="1">
      <c r="A523" s="414"/>
      <c r="B523" s="100" t="s">
        <v>2802</v>
      </c>
      <c r="C523" s="99"/>
      <c r="D523" s="99"/>
      <c r="E523" s="107"/>
      <c r="F523" s="99"/>
      <c r="G523" s="107"/>
      <c r="H523" s="417"/>
      <c r="L523" s="4"/>
      <c r="M523" s="4"/>
      <c r="N523" s="4"/>
      <c r="O523" s="4"/>
    </row>
    <row r="524" spans="1:15" ht="15.6" customHeight="1">
      <c r="A524" s="414"/>
      <c r="B524" s="26" t="s">
        <v>2989</v>
      </c>
      <c r="C524" s="111"/>
      <c r="D524" s="100"/>
      <c r="E524" s="99"/>
      <c r="F524" s="99"/>
      <c r="G524" s="341"/>
      <c r="H524" s="417"/>
      <c r="K524" s="959"/>
      <c r="L524" s="13"/>
      <c r="M524" s="28"/>
      <c r="N524" s="2355"/>
      <c r="O524" s="13"/>
    </row>
    <row r="525" spans="1:15" ht="15.6" customHeight="1">
      <c r="A525" s="414"/>
      <c r="B525" s="112" t="s">
        <v>2804</v>
      </c>
      <c r="C525" s="99"/>
      <c r="D525" s="99"/>
      <c r="E525" s="107"/>
      <c r="F525" s="107"/>
      <c r="G525" s="341"/>
      <c r="H525" s="417"/>
      <c r="J525"/>
      <c r="L525" s="2356"/>
      <c r="M525" s="4"/>
      <c r="N525" s="4"/>
      <c r="O525" s="4"/>
    </row>
    <row r="526" spans="1:15" ht="15.6" customHeight="1">
      <c r="A526" s="414"/>
      <c r="B526" s="136" t="s">
        <v>3003</v>
      </c>
      <c r="C526" s="27"/>
      <c r="D526" s="2363"/>
      <c r="E526" s="273"/>
      <c r="F526" s="99"/>
      <c r="G526" s="341"/>
      <c r="H526" s="417"/>
      <c r="L526" s="4"/>
      <c r="M526" s="4"/>
      <c r="N526" s="4"/>
      <c r="O526" s="4"/>
    </row>
    <row r="527" spans="1:15" s="592" customFormat="1" ht="16.2" customHeight="1">
      <c r="A527" s="905"/>
      <c r="B527" s="507" t="s">
        <v>2809</v>
      </c>
      <c r="C527" s="2372"/>
      <c r="D527" s="2372"/>
      <c r="E527" s="2372"/>
      <c r="F527" s="507"/>
      <c r="G527" s="1174"/>
      <c r="H527" s="2373"/>
      <c r="J527" s="696"/>
      <c r="L527" s="591"/>
      <c r="M527" s="591"/>
      <c r="N527" s="591"/>
      <c r="O527" s="591"/>
    </row>
    <row r="528" spans="1:15" ht="14.4" customHeight="1">
      <c r="A528" s="414"/>
      <c r="B528" s="99"/>
      <c r="C528" s="110"/>
      <c r="D528" s="100"/>
      <c r="E528" s="99"/>
      <c r="F528" s="99"/>
      <c r="G528" s="342" t="s">
        <v>2808</v>
      </c>
      <c r="H528" s="417"/>
    </row>
    <row r="529" spans="1:10" ht="14.4" customHeight="1">
      <c r="A529" s="414"/>
      <c r="B529" s="111" t="s">
        <v>2806</v>
      </c>
      <c r="C529" s="99"/>
      <c r="D529" s="2161" t="s">
        <v>4</v>
      </c>
      <c r="E529" s="99"/>
      <c r="F529" s="99"/>
      <c r="G529" s="2351" t="s">
        <v>2774</v>
      </c>
      <c r="H529" s="417"/>
    </row>
    <row r="530" spans="1:10" ht="15.6" customHeight="1">
      <c r="A530" s="414"/>
      <c r="B530" s="2368" t="s">
        <v>2805</v>
      </c>
      <c r="C530" s="111" t="s">
        <v>2755</v>
      </c>
      <c r="D530" s="2471">
        <f>D519*(POWER(2.718282,(-D518*D521)))</f>
        <v>6.3597164455645627E-13</v>
      </c>
      <c r="E530" s="99"/>
      <c r="F530" s="99"/>
      <c r="G530" s="2349"/>
      <c r="H530" s="581"/>
    </row>
    <row r="531" spans="1:10" ht="15.6" customHeight="1">
      <c r="A531" s="414"/>
      <c r="B531" s="99"/>
      <c r="C531" s="1023" t="s">
        <v>364</v>
      </c>
      <c r="D531" s="1482">
        <f>D530*(100/D519)</f>
        <v>52.997637046371359</v>
      </c>
      <c r="E531" s="99" t="s">
        <v>699</v>
      </c>
      <c r="F531" s="99"/>
      <c r="G531" s="342" t="s">
        <v>2779</v>
      </c>
      <c r="H531" s="417"/>
    </row>
    <row r="532" spans="1:10" ht="15.6" customHeight="1">
      <c r="A532" s="414"/>
      <c r="B532" s="111" t="s">
        <v>2801</v>
      </c>
      <c r="C532" s="111" t="s">
        <v>2807</v>
      </c>
      <c r="D532" s="1365">
        <f>D520*D516</f>
        <v>5248.68</v>
      </c>
      <c r="E532" s="99" t="s">
        <v>1111</v>
      </c>
      <c r="F532" s="107"/>
      <c r="G532" s="2351" t="s">
        <v>2778</v>
      </c>
      <c r="H532" s="417"/>
    </row>
    <row r="533" spans="1:10" ht="15.6" customHeight="1">
      <c r="A533" s="414"/>
      <c r="B533" s="111" t="s">
        <v>2770</v>
      </c>
      <c r="C533" s="111" t="s">
        <v>2771</v>
      </c>
      <c r="D533" s="2470">
        <f>D530*D518</f>
        <v>2.4395065288988509E-24</v>
      </c>
      <c r="E533" s="26" t="s">
        <v>2796</v>
      </c>
      <c r="F533" s="26"/>
      <c r="G533" s="2350" t="s">
        <v>2769</v>
      </c>
      <c r="H533" s="581"/>
    </row>
    <row r="534" spans="1:10" ht="15" customHeight="1">
      <c r="A534" s="414"/>
      <c r="B534" s="99"/>
      <c r="C534" s="111" t="s">
        <v>364</v>
      </c>
      <c r="D534" s="2362">
        <f>D531</f>
        <v>52.997637046371359</v>
      </c>
      <c r="E534" s="99" t="s">
        <v>699</v>
      </c>
      <c r="F534" s="99"/>
      <c r="G534" s="2358"/>
      <c r="H534" s="417"/>
    </row>
    <row r="535" spans="1:10" s="592" customFormat="1" ht="13.8" customHeight="1">
      <c r="A535" s="590"/>
      <c r="B535" s="1113"/>
      <c r="C535" s="1113"/>
      <c r="D535" s="1113"/>
      <c r="E535" s="1113"/>
      <c r="F535" s="1113"/>
      <c r="G535" s="2374" t="s">
        <v>2797</v>
      </c>
      <c r="H535" s="2375"/>
      <c r="J535" s="696"/>
    </row>
    <row r="536" spans="1:10" ht="16.2" customHeight="1">
      <c r="A536" s="43"/>
      <c r="B536" s="626"/>
      <c r="C536" s="3"/>
      <c r="D536" s="3"/>
      <c r="E536" s="3"/>
      <c r="F536" s="3"/>
      <c r="G536" s="3"/>
    </row>
    <row r="537" spans="1:10" ht="16.2" customHeight="1">
      <c r="A537" s="43"/>
      <c r="B537" s="4"/>
      <c r="C537" s="3"/>
      <c r="D537" s="3"/>
      <c r="E537" s="3"/>
      <c r="F537" s="3"/>
      <c r="G537" s="3"/>
    </row>
    <row r="538" spans="1:10">
      <c r="A538" s="43"/>
      <c r="B538" s="626"/>
      <c r="C538" s="3"/>
      <c r="D538" s="3"/>
      <c r="E538" s="3"/>
      <c r="F538" s="3"/>
      <c r="G538" s="3"/>
    </row>
    <row r="539" spans="1:10">
      <c r="A539" s="43"/>
      <c r="B539" s="2371"/>
      <c r="C539" s="3"/>
      <c r="D539" s="3"/>
      <c r="E539" s="3"/>
      <c r="F539" s="3"/>
      <c r="G539" s="3"/>
    </row>
    <row r="540" spans="1:10">
      <c r="A540" s="43"/>
      <c r="B540" s="626"/>
      <c r="C540" s="3"/>
      <c r="D540" s="3"/>
      <c r="E540" s="3"/>
      <c r="F540" s="3"/>
      <c r="G540" s="3"/>
    </row>
    <row r="541" spans="1:10">
      <c r="B541" s="626"/>
      <c r="C541" s="3"/>
      <c r="D541" s="3"/>
      <c r="E541" s="3"/>
      <c r="F541" s="3"/>
      <c r="G541" s="3"/>
    </row>
    <row r="542" spans="1:10">
      <c r="B542" s="626"/>
      <c r="C542" s="3"/>
      <c r="D542" s="3"/>
      <c r="E542" s="3"/>
      <c r="F542" s="3"/>
      <c r="G542" s="3"/>
    </row>
    <row r="543" spans="1:10">
      <c r="B543" s="626"/>
      <c r="C543" s="3"/>
      <c r="D543" s="3"/>
      <c r="E543" s="3"/>
      <c r="F543" s="3"/>
      <c r="G543" s="3"/>
    </row>
    <row r="544" spans="1:10">
      <c r="B544" s="626"/>
      <c r="C544" s="3"/>
      <c r="D544" s="3"/>
      <c r="E544" s="3"/>
      <c r="F544" s="3"/>
      <c r="G544" s="3"/>
    </row>
    <row r="545" spans="2:7">
      <c r="B545" s="626"/>
      <c r="C545" s="3"/>
      <c r="D545" s="3"/>
      <c r="E545" s="3"/>
      <c r="F545" s="3"/>
      <c r="G545" s="3"/>
    </row>
    <row r="546" spans="2:7">
      <c r="B546" s="626"/>
      <c r="C546" s="3"/>
      <c r="D546" s="3"/>
      <c r="E546" s="3"/>
      <c r="F546" s="3"/>
      <c r="G546" s="3"/>
    </row>
    <row r="547" spans="2:7">
      <c r="B547" s="626"/>
      <c r="C547" s="3"/>
      <c r="D547" s="3"/>
      <c r="E547" s="3"/>
      <c r="F547" s="3"/>
      <c r="G547" s="3"/>
    </row>
    <row r="548" spans="2:7">
      <c r="B548" s="626"/>
      <c r="C548" s="3"/>
      <c r="D548" s="3"/>
      <c r="E548" s="3"/>
      <c r="F548" s="3"/>
      <c r="G548" s="3"/>
    </row>
    <row r="549" spans="2:7">
      <c r="B549" s="626"/>
      <c r="C549" s="3"/>
      <c r="D549" s="3"/>
      <c r="E549" s="3"/>
      <c r="F549" s="3"/>
      <c r="G549" s="3"/>
    </row>
    <row r="550" spans="2:7">
      <c r="B550" s="626"/>
      <c r="C550" s="3"/>
      <c r="D550" s="3"/>
      <c r="E550" s="3"/>
      <c r="F550" s="3"/>
      <c r="G550" s="3"/>
    </row>
    <row r="551" spans="2:7">
      <c r="B551" s="626"/>
      <c r="C551" s="3"/>
      <c r="D551" s="3"/>
      <c r="E551" s="3"/>
      <c r="F551" s="3"/>
      <c r="G551" s="3"/>
    </row>
    <row r="552" spans="2:7">
      <c r="B552" s="626"/>
      <c r="C552" s="3"/>
      <c r="D552" s="3"/>
      <c r="E552" s="3"/>
      <c r="F552" s="3"/>
      <c r="G552" s="3"/>
    </row>
    <row r="553" spans="2:7">
      <c r="B553" s="626"/>
      <c r="C553" s="3"/>
      <c r="D553" s="3"/>
      <c r="E553" s="3"/>
      <c r="F553" s="3"/>
      <c r="G553" s="3"/>
    </row>
    <row r="554" spans="2:7">
      <c r="B554" s="626"/>
      <c r="C554" s="3"/>
      <c r="D554" s="3"/>
      <c r="E554" s="3"/>
      <c r="F554" s="3"/>
      <c r="G554" s="3"/>
    </row>
    <row r="555" spans="2:7">
      <c r="B555" s="4"/>
    </row>
    <row r="556" spans="2:7">
      <c r="B556" s="4"/>
    </row>
    <row r="557" spans="2:7">
      <c r="B557" s="4"/>
    </row>
    <row r="558" spans="2:7">
      <c r="B558" s="4"/>
    </row>
    <row r="559" spans="2:7">
      <c r="B559" s="4"/>
    </row>
    <row r="560" spans="2:7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  <row r="925" spans="2:2">
      <c r="B925" s="4"/>
    </row>
    <row r="926" spans="2:2">
      <c r="B926" s="4"/>
    </row>
    <row r="927" spans="2:2">
      <c r="B927" s="4"/>
    </row>
    <row r="928" spans="2:2">
      <c r="B928" s="4"/>
    </row>
    <row r="929" spans="2:2">
      <c r="B929" s="4"/>
    </row>
    <row r="930" spans="2:2">
      <c r="B930" s="4"/>
    </row>
    <row r="931" spans="2:2">
      <c r="B931" s="4"/>
    </row>
    <row r="932" spans="2:2">
      <c r="B932" s="4"/>
    </row>
    <row r="933" spans="2:2">
      <c r="B933" s="4"/>
    </row>
    <row r="934" spans="2:2">
      <c r="B934" s="4"/>
    </row>
    <row r="935" spans="2:2">
      <c r="B935" s="4"/>
    </row>
    <row r="936" spans="2:2">
      <c r="B936" s="4"/>
    </row>
    <row r="937" spans="2:2">
      <c r="B937" s="4"/>
    </row>
    <row r="938" spans="2:2">
      <c r="B938" s="4"/>
    </row>
    <row r="939" spans="2:2">
      <c r="B939" s="4"/>
    </row>
    <row r="940" spans="2:2">
      <c r="B940" s="4"/>
    </row>
    <row r="941" spans="2:2">
      <c r="B941" s="4"/>
    </row>
    <row r="942" spans="2:2">
      <c r="B942" s="4"/>
    </row>
    <row r="943" spans="2:2">
      <c r="B943" s="4"/>
    </row>
    <row r="944" spans="2:2">
      <c r="B944" s="4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  <row r="951" spans="2:2">
      <c r="B951" s="4"/>
    </row>
  </sheetData>
  <sheetProtection password="CEBA" sheet="1" objects="1" scenarios="1"/>
  <hyperlinks>
    <hyperlink ref="J274" r:id="rId1"/>
    <hyperlink ref="F498" r:id="rId2"/>
    <hyperlink ref="B202" r:id="rId3" display="https://www.youtube.com/watch?v=7fLFOgSVFJM"/>
    <hyperlink ref="D343" r:id="rId4"/>
    <hyperlink ref="C468" r:id="rId5" display="https://www.google.com/search?client=firefox-b-d&amp;q=Die+entstehung+der+Kr%C3%A4fte+und+der+Teilchenzoo"/>
    <hyperlink ref="A1" location="Atomphysik!A1" display="Atomphysik!A1"/>
    <hyperlink ref="B193" r:id="rId6" display="https://www.youtube.com/watch?v=f10DjdezijE"/>
    <hyperlink ref="B12" r:id="rId7" display="https://www.youtube.com/watch?v=BqeSHBgIRWI"/>
    <hyperlink ref="B26" r:id="rId8" display="https://www.youtube.com/watch?v=9sC0oX3n_WY"/>
  </hyperlinks>
  <pageMargins left="0" right="0" top="0" bottom="0" header="0" footer="0"/>
  <pageSetup paperSize="9" orientation="landscape" r:id="rId9"/>
  <drawing r:id="rId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zoomScale="99" zoomScaleNormal="99" workbookViewId="0">
      <selection activeCell="K18" sqref="K18"/>
    </sheetView>
  </sheetViews>
  <sheetFormatPr baseColWidth="10" defaultRowHeight="14.4"/>
  <cols>
    <col min="1" max="1" width="1.6640625" customWidth="1"/>
    <col min="2" max="2" width="28" customWidth="1"/>
    <col min="3" max="3" width="15.6640625" style="3" customWidth="1"/>
    <col min="4" max="5" width="12.6640625" style="3" customWidth="1"/>
    <col min="6" max="8" width="23.6640625" style="3" customWidth="1"/>
    <col min="9" max="9" width="1.6640625" style="3" customWidth="1"/>
  </cols>
  <sheetData>
    <row r="1" spans="1:14" ht="15.6">
      <c r="A1" s="485"/>
      <c r="B1" s="486"/>
      <c r="C1" s="391"/>
      <c r="D1" s="391"/>
      <c r="E1" s="391"/>
      <c r="F1" s="391"/>
      <c r="G1" s="878"/>
      <c r="H1" s="878"/>
      <c r="I1" s="487" t="s">
        <v>269</v>
      </c>
    </row>
    <row r="2" spans="1:14" ht="15.6">
      <c r="A2" s="414"/>
      <c r="B2" s="107"/>
      <c r="C2" s="140" t="s">
        <v>1736</v>
      </c>
      <c r="D2" s="99"/>
      <c r="E2" s="99"/>
      <c r="F2" s="99"/>
      <c r="G2" s="100"/>
      <c r="H2" s="100"/>
      <c r="I2" s="490"/>
    </row>
    <row r="3" spans="1:14">
      <c r="A3" s="414"/>
      <c r="B3" s="107"/>
      <c r="C3" s="99"/>
      <c r="D3" s="99"/>
      <c r="E3" s="99"/>
      <c r="F3" s="99"/>
      <c r="G3" s="99"/>
      <c r="H3" s="99"/>
      <c r="I3" s="490"/>
    </row>
    <row r="4" spans="1:14">
      <c r="A4" s="414"/>
      <c r="B4" s="691"/>
      <c r="C4" s="1022"/>
      <c r="D4" s="1022"/>
      <c r="E4" s="99"/>
      <c r="F4" s="143" t="s">
        <v>4</v>
      </c>
      <c r="G4" s="26"/>
      <c r="H4" s="105"/>
      <c r="I4" s="490"/>
    </row>
    <row r="5" spans="1:14">
      <c r="A5" s="414"/>
      <c r="B5" s="107"/>
      <c r="C5" s="99"/>
      <c r="D5" s="99"/>
      <c r="E5" s="759"/>
      <c r="F5" s="759" t="s">
        <v>2475</v>
      </c>
      <c r="G5" s="759"/>
      <c r="H5" s="2127" t="s">
        <v>2482</v>
      </c>
      <c r="I5" s="490"/>
    </row>
    <row r="6" spans="1:14">
      <c r="A6" s="414"/>
      <c r="B6" s="107"/>
      <c r="C6" s="99"/>
      <c r="D6" s="99"/>
      <c r="E6" s="103"/>
      <c r="F6" s="103" t="s">
        <v>2485</v>
      </c>
      <c r="G6" s="103" t="s">
        <v>2470</v>
      </c>
      <c r="H6" s="2136" t="s">
        <v>2483</v>
      </c>
      <c r="I6" s="490"/>
    </row>
    <row r="7" spans="1:14">
      <c r="A7" s="414"/>
      <c r="B7" s="107"/>
      <c r="C7" s="99"/>
      <c r="D7" s="99"/>
      <c r="E7" s="103" t="s">
        <v>2473</v>
      </c>
      <c r="F7" s="103" t="s">
        <v>2484</v>
      </c>
      <c r="G7" s="103" t="s">
        <v>1896</v>
      </c>
      <c r="H7" s="103" t="s">
        <v>1896</v>
      </c>
      <c r="I7" s="490"/>
    </row>
    <row r="8" spans="1:14">
      <c r="A8" s="414"/>
      <c r="B8" s="107"/>
      <c r="C8" s="99"/>
      <c r="D8" s="99"/>
      <c r="E8" s="103" t="s">
        <v>2474</v>
      </c>
      <c r="F8" s="2119" t="s">
        <v>2535</v>
      </c>
      <c r="G8" s="103" t="s">
        <v>2851</v>
      </c>
      <c r="H8" s="103" t="s">
        <v>1895</v>
      </c>
      <c r="I8" s="490"/>
      <c r="L8" s="4"/>
      <c r="M8" s="4"/>
      <c r="N8" s="4"/>
    </row>
    <row r="9" spans="1:14">
      <c r="A9" s="414"/>
      <c r="B9" s="107"/>
      <c r="C9" s="99"/>
      <c r="D9" s="99"/>
      <c r="E9" s="103" t="s">
        <v>2486</v>
      </c>
      <c r="F9" s="103" t="s">
        <v>2487</v>
      </c>
      <c r="G9" s="103" t="s">
        <v>2536</v>
      </c>
      <c r="H9" s="103" t="s">
        <v>2488</v>
      </c>
      <c r="I9" s="490"/>
      <c r="L9" s="4"/>
      <c r="M9" s="4"/>
      <c r="N9" s="4"/>
    </row>
    <row r="10" spans="1:14">
      <c r="A10" s="414"/>
      <c r="B10" s="107"/>
      <c r="C10" s="99"/>
      <c r="D10" s="99"/>
      <c r="E10" s="1580" t="s">
        <v>2478</v>
      </c>
      <c r="F10" s="1581" t="s">
        <v>2479</v>
      </c>
      <c r="G10" s="1582" t="s">
        <v>2480</v>
      </c>
      <c r="H10" s="1581" t="s">
        <v>2481</v>
      </c>
      <c r="I10" s="490"/>
      <c r="L10" s="4"/>
      <c r="M10" s="4"/>
      <c r="N10" s="4"/>
    </row>
    <row r="11" spans="1:14" ht="13.2" customHeight="1">
      <c r="A11" s="414"/>
      <c r="B11" s="1905" t="s">
        <v>2476</v>
      </c>
      <c r="C11" s="99"/>
      <c r="D11" s="99"/>
      <c r="E11" s="2124" t="s">
        <v>2674</v>
      </c>
      <c r="F11" s="2125" t="s">
        <v>2674</v>
      </c>
      <c r="G11" s="2126" t="s">
        <v>2675</v>
      </c>
      <c r="H11" s="2125" t="s">
        <v>2675</v>
      </c>
      <c r="I11" s="490"/>
      <c r="M11" s="1097"/>
      <c r="N11" s="4"/>
    </row>
    <row r="12" spans="1:14">
      <c r="A12" s="414"/>
      <c r="B12" s="107"/>
      <c r="D12" s="99"/>
      <c r="E12" s="2123">
        <v>0</v>
      </c>
      <c r="F12" s="2130">
        <f t="shared" ref="F12:F20" si="0">0.5*$C$14*POWER(E12,2)</f>
        <v>0</v>
      </c>
      <c r="G12" s="2131">
        <v>0</v>
      </c>
      <c r="H12" s="2093">
        <v>0</v>
      </c>
      <c r="I12" s="490"/>
      <c r="M12" s="4"/>
      <c r="N12" s="4"/>
    </row>
    <row r="13" spans="1:14">
      <c r="A13" s="414"/>
      <c r="B13" s="111"/>
      <c r="C13" s="143" t="s">
        <v>3</v>
      </c>
      <c r="D13" s="99"/>
      <c r="E13" s="2128">
        <f>E12+1</f>
        <v>1</v>
      </c>
      <c r="F13" s="2130">
        <f t="shared" si="0"/>
        <v>0.81499999999999995</v>
      </c>
      <c r="G13" s="2131">
        <f t="shared" ref="G13:G20" si="1">(F13-F12)</f>
        <v>0.81499999999999995</v>
      </c>
      <c r="H13" s="2132">
        <f t="shared" ref="H13:H20" si="2">G13-G12</f>
        <v>0.81499999999999995</v>
      </c>
      <c r="I13" s="490"/>
      <c r="L13" s="4"/>
      <c r="M13" s="4"/>
      <c r="N13" s="4"/>
    </row>
    <row r="14" spans="1:14">
      <c r="A14" s="414"/>
      <c r="B14" s="111" t="s">
        <v>2471</v>
      </c>
      <c r="C14" s="1317">
        <v>1.63</v>
      </c>
      <c r="D14" s="99" t="s">
        <v>1754</v>
      </c>
      <c r="E14" s="2128">
        <f t="shared" ref="E14:E20" si="3">E13+1</f>
        <v>2</v>
      </c>
      <c r="F14" s="2130">
        <f t="shared" si="0"/>
        <v>3.26</v>
      </c>
      <c r="G14" s="2131">
        <f t="shared" si="1"/>
        <v>2.4449999999999998</v>
      </c>
      <c r="H14" s="2132">
        <f t="shared" si="2"/>
        <v>1.63</v>
      </c>
      <c r="I14" s="490"/>
      <c r="M14" s="4"/>
      <c r="N14" s="4"/>
    </row>
    <row r="15" spans="1:14">
      <c r="A15" s="414"/>
      <c r="B15" s="107"/>
      <c r="C15" s="1252"/>
      <c r="D15" s="99"/>
      <c r="E15" s="2128">
        <f t="shared" si="3"/>
        <v>3</v>
      </c>
      <c r="F15" s="2130">
        <f t="shared" si="0"/>
        <v>7.3349999999999991</v>
      </c>
      <c r="G15" s="2131">
        <f t="shared" si="1"/>
        <v>4.0749999999999993</v>
      </c>
      <c r="H15" s="2132">
        <f t="shared" si="2"/>
        <v>1.6299999999999994</v>
      </c>
      <c r="I15" s="490"/>
    </row>
    <row r="16" spans="1:14">
      <c r="A16" s="414"/>
      <c r="B16" s="27"/>
      <c r="C16" s="345" t="s">
        <v>1962</v>
      </c>
      <c r="D16" s="99"/>
      <c r="E16" s="2128">
        <f t="shared" si="3"/>
        <v>4</v>
      </c>
      <c r="F16" s="2130">
        <f t="shared" si="0"/>
        <v>13.04</v>
      </c>
      <c r="G16" s="2131">
        <f t="shared" si="1"/>
        <v>5.7050000000000001</v>
      </c>
      <c r="H16" s="2132">
        <f t="shared" si="2"/>
        <v>1.6300000000000008</v>
      </c>
      <c r="I16" s="490"/>
    </row>
    <row r="17" spans="1:9">
      <c r="A17" s="414"/>
      <c r="B17" s="107"/>
      <c r="C17" s="557" t="s">
        <v>2102</v>
      </c>
      <c r="D17" s="99"/>
      <c r="E17" s="2128">
        <f t="shared" si="3"/>
        <v>5</v>
      </c>
      <c r="F17" s="2130">
        <f t="shared" si="0"/>
        <v>20.375</v>
      </c>
      <c r="G17" s="2131">
        <f t="shared" si="1"/>
        <v>7.3350000000000009</v>
      </c>
      <c r="H17" s="2132">
        <f t="shared" si="2"/>
        <v>1.6300000000000008</v>
      </c>
      <c r="I17" s="490"/>
    </row>
    <row r="18" spans="1:9">
      <c r="A18" s="414"/>
      <c r="B18" s="107"/>
      <c r="C18" s="344" t="s">
        <v>2477</v>
      </c>
      <c r="D18" s="99"/>
      <c r="E18" s="2128">
        <f t="shared" si="3"/>
        <v>6</v>
      </c>
      <c r="F18" s="2130">
        <f t="shared" si="0"/>
        <v>29.339999999999996</v>
      </c>
      <c r="G18" s="2131">
        <f t="shared" si="1"/>
        <v>8.9649999999999963</v>
      </c>
      <c r="H18" s="2132">
        <f t="shared" si="2"/>
        <v>1.6299999999999955</v>
      </c>
      <c r="I18" s="490"/>
    </row>
    <row r="19" spans="1:9">
      <c r="A19" s="414"/>
      <c r="B19" s="107"/>
      <c r="C19" s="1321" t="s">
        <v>1737</v>
      </c>
      <c r="D19" s="99"/>
      <c r="E19" s="2128">
        <f t="shared" si="3"/>
        <v>7</v>
      </c>
      <c r="F19" s="2130">
        <f t="shared" si="0"/>
        <v>39.934999999999995</v>
      </c>
      <c r="G19" s="2131">
        <f t="shared" si="1"/>
        <v>10.594999999999999</v>
      </c>
      <c r="H19" s="2132">
        <f t="shared" si="2"/>
        <v>1.6300000000000026</v>
      </c>
      <c r="I19" s="490"/>
    </row>
    <row r="20" spans="1:9" ht="15.6">
      <c r="A20" s="1093"/>
      <c r="B20" s="107"/>
      <c r="C20" s="344" t="s">
        <v>2472</v>
      </c>
      <c r="D20" s="112"/>
      <c r="E20" s="2129">
        <f t="shared" si="3"/>
        <v>8</v>
      </c>
      <c r="F20" s="2133">
        <f t="shared" si="0"/>
        <v>52.16</v>
      </c>
      <c r="G20" s="2134">
        <f t="shared" si="1"/>
        <v>12.225000000000001</v>
      </c>
      <c r="H20" s="2135">
        <f t="shared" si="2"/>
        <v>1.6300000000000026</v>
      </c>
      <c r="I20" s="490"/>
    </row>
    <row r="21" spans="1:9" ht="15.6">
      <c r="A21" s="1093"/>
      <c r="B21" s="27"/>
      <c r="C21" s="99"/>
      <c r="D21" s="100"/>
      <c r="E21" s="99"/>
      <c r="F21" s="99"/>
      <c r="G21" s="1027"/>
      <c r="H21" s="343"/>
      <c r="I21" s="490"/>
    </row>
    <row r="22" spans="1:9" ht="15.6">
      <c r="A22" s="1093"/>
      <c r="B22" s="130" t="s">
        <v>1294</v>
      </c>
      <c r="C22" s="99"/>
      <c r="D22" s="99"/>
      <c r="E22" s="1099" t="s">
        <v>1305</v>
      </c>
      <c r="F22" s="1094"/>
      <c r="G22" s="1094"/>
      <c r="H22" s="1094"/>
      <c r="I22" s="490"/>
    </row>
    <row r="23" spans="1:9" ht="15.6">
      <c r="A23" s="1093"/>
      <c r="B23" s="130" t="s">
        <v>1295</v>
      </c>
      <c r="C23" s="99"/>
      <c r="D23" s="110"/>
      <c r="E23" s="1102" t="s">
        <v>1132</v>
      </c>
      <c r="F23" s="99"/>
      <c r="G23" s="100"/>
      <c r="H23" s="100"/>
      <c r="I23" s="490"/>
    </row>
    <row r="24" spans="1:9" ht="15.6">
      <c r="A24" s="1093"/>
      <c r="B24" s="130" t="s">
        <v>1296</v>
      </c>
      <c r="C24" s="99"/>
      <c r="D24" s="99"/>
      <c r="E24" s="1101" t="s">
        <v>1133</v>
      </c>
      <c r="F24" s="122"/>
      <c r="G24" s="1076"/>
      <c r="H24" s="99"/>
      <c r="I24" s="490"/>
    </row>
    <row r="25" spans="1:9">
      <c r="A25" s="414"/>
      <c r="B25" s="337"/>
      <c r="C25" s="99"/>
      <c r="D25" s="99"/>
      <c r="E25" s="26"/>
      <c r="F25" s="99"/>
      <c r="G25" s="100"/>
      <c r="H25" s="99"/>
      <c r="I25" s="490"/>
    </row>
    <row r="26" spans="1:9">
      <c r="A26" s="414"/>
      <c r="B26" s="107"/>
      <c r="C26" s="1159" t="s">
        <v>1300</v>
      </c>
      <c r="D26" s="343"/>
      <c r="E26" s="343"/>
      <c r="F26" s="99"/>
      <c r="G26" s="100"/>
      <c r="H26" s="99"/>
      <c r="I26" s="490"/>
    </row>
    <row r="27" spans="1:9">
      <c r="A27" s="414"/>
      <c r="B27" s="107"/>
      <c r="C27" s="337" t="s">
        <v>1301</v>
      </c>
      <c r="D27" s="343"/>
      <c r="E27" s="343"/>
      <c r="F27" s="99"/>
      <c r="G27" s="100"/>
      <c r="H27" s="99"/>
      <c r="I27" s="490"/>
    </row>
    <row r="28" spans="1:9">
      <c r="A28" s="414"/>
      <c r="B28" s="107"/>
      <c r="C28" s="337" t="s">
        <v>1583</v>
      </c>
      <c r="D28" s="343"/>
      <c r="E28" s="665"/>
      <c r="F28" s="99"/>
      <c r="G28" s="100"/>
      <c r="H28" s="99"/>
      <c r="I28" s="490"/>
    </row>
    <row r="29" spans="1:9">
      <c r="A29" s="414"/>
      <c r="B29" s="107"/>
      <c r="C29" s="337" t="s">
        <v>1303</v>
      </c>
      <c r="D29" s="343"/>
      <c r="E29" s="665"/>
      <c r="F29" s="99"/>
      <c r="G29" s="100"/>
      <c r="H29" s="99"/>
      <c r="I29" s="490"/>
    </row>
    <row r="30" spans="1:9">
      <c r="A30" s="414"/>
      <c r="B30" s="107"/>
      <c r="C30" s="337" t="s">
        <v>1958</v>
      </c>
      <c r="D30" s="343"/>
      <c r="E30" s="665"/>
      <c r="F30" s="99"/>
      <c r="G30" s="100"/>
      <c r="H30" s="99"/>
      <c r="I30" s="490"/>
    </row>
    <row r="31" spans="1:9">
      <c r="A31" s="414"/>
      <c r="B31" s="107"/>
      <c r="C31" s="184" t="s">
        <v>1959</v>
      </c>
      <c r="D31" s="343"/>
      <c r="E31" s="343"/>
      <c r="F31" s="99"/>
      <c r="G31" s="100"/>
      <c r="H31" s="99"/>
      <c r="I31" s="490"/>
    </row>
    <row r="32" spans="1:9">
      <c r="A32" s="414"/>
      <c r="B32" s="107"/>
      <c r="C32" s="184" t="s">
        <v>1302</v>
      </c>
      <c r="D32" s="343"/>
      <c r="E32" s="343"/>
      <c r="F32" s="99"/>
      <c r="G32" s="100"/>
      <c r="H32" s="99"/>
      <c r="I32" s="490"/>
    </row>
    <row r="33" spans="1:9">
      <c r="A33" s="414"/>
      <c r="B33" s="107"/>
      <c r="C33" s="1159" t="s">
        <v>1304</v>
      </c>
      <c r="D33" s="343"/>
      <c r="E33" s="343"/>
      <c r="F33" s="99"/>
      <c r="G33" s="100"/>
      <c r="H33" s="99"/>
      <c r="I33" s="490"/>
    </row>
    <row r="34" spans="1:9">
      <c r="A34" s="414"/>
      <c r="B34" s="107"/>
      <c r="C34" s="337" t="s">
        <v>1955</v>
      </c>
      <c r="D34" s="343"/>
      <c r="E34" s="343"/>
      <c r="F34" s="99"/>
      <c r="G34" s="100"/>
      <c r="H34" s="99"/>
      <c r="I34" s="490"/>
    </row>
    <row r="35" spans="1:9">
      <c r="A35" s="414"/>
      <c r="B35" s="107"/>
      <c r="C35" s="337" t="s">
        <v>1956</v>
      </c>
      <c r="D35" s="343"/>
      <c r="E35" s="343"/>
      <c r="F35" s="99"/>
      <c r="G35" s="100"/>
      <c r="H35" s="99"/>
      <c r="I35" s="490"/>
    </row>
    <row r="36" spans="1:9">
      <c r="A36" s="414"/>
      <c r="B36" s="27"/>
      <c r="C36" s="337" t="s">
        <v>1957</v>
      </c>
      <c r="D36" s="343"/>
      <c r="E36" s="343"/>
      <c r="F36" s="99"/>
      <c r="G36" s="99"/>
      <c r="H36" s="99"/>
      <c r="I36" s="490"/>
    </row>
    <row r="37" spans="1:9">
      <c r="A37" s="414"/>
      <c r="B37" s="1876" t="s">
        <v>2162</v>
      </c>
      <c r="C37" s="337"/>
      <c r="D37" s="343"/>
      <c r="E37" s="343"/>
      <c r="F37" s="26"/>
      <c r="G37" s="99"/>
      <c r="H37" s="99"/>
      <c r="I37" s="490"/>
    </row>
    <row r="38" spans="1:9" ht="16.8" customHeight="1">
      <c r="A38" s="389"/>
      <c r="B38" s="1903" t="s">
        <v>1297</v>
      </c>
      <c r="C38" s="502"/>
      <c r="D38" s="502"/>
      <c r="E38" s="502"/>
      <c r="F38" s="1100"/>
      <c r="G38" s="502"/>
      <c r="H38" s="1153" t="s">
        <v>1134</v>
      </c>
      <c r="I38" s="499"/>
    </row>
    <row r="39" spans="1:9" ht="16.8" customHeight="1">
      <c r="A39" s="485"/>
      <c r="B39" s="929"/>
      <c r="C39" s="1904" t="s">
        <v>1741</v>
      </c>
      <c r="D39" s="391"/>
      <c r="E39" s="391"/>
      <c r="F39" s="391"/>
      <c r="G39" s="391"/>
      <c r="H39" s="391"/>
      <c r="I39" s="487" t="s">
        <v>270</v>
      </c>
    </row>
    <row r="40" spans="1:9" ht="15.6">
      <c r="A40" s="414"/>
      <c r="B40" s="99" t="s">
        <v>1775</v>
      </c>
      <c r="C40" s="99"/>
      <c r="D40" s="99"/>
      <c r="E40" s="99"/>
      <c r="F40" s="394"/>
      <c r="G40" s="708" t="s">
        <v>2283</v>
      </c>
      <c r="H40" s="99"/>
      <c r="I40" s="490"/>
    </row>
    <row r="41" spans="1:9">
      <c r="A41" s="414"/>
      <c r="B41" s="99"/>
      <c r="C41" s="99"/>
      <c r="D41" s="99"/>
      <c r="E41" s="490"/>
      <c r="F41" s="394"/>
      <c r="G41" s="557" t="s">
        <v>1793</v>
      </c>
      <c r="H41" s="99"/>
      <c r="I41" s="490"/>
    </row>
    <row r="42" spans="1:9">
      <c r="A42" s="394"/>
      <c r="B42" s="107"/>
      <c r="C42" s="99"/>
      <c r="D42" s="99"/>
      <c r="E42" s="490"/>
      <c r="F42" s="1327" t="s">
        <v>1768</v>
      </c>
      <c r="G42" s="99"/>
      <c r="H42" s="99"/>
      <c r="I42" s="490"/>
    </row>
    <row r="43" spans="1:9">
      <c r="A43" s="394"/>
      <c r="B43" s="99"/>
      <c r="C43" s="107"/>
      <c r="D43" s="99"/>
      <c r="E43" s="490"/>
      <c r="F43" s="394" t="s">
        <v>1791</v>
      </c>
      <c r="G43" s="99"/>
      <c r="H43" s="99"/>
      <c r="I43" s="490"/>
    </row>
    <row r="44" spans="1:9">
      <c r="A44" s="394"/>
      <c r="B44" s="99"/>
      <c r="C44" s="99"/>
      <c r="D44" s="99"/>
      <c r="E44" s="495"/>
      <c r="F44" s="525" t="s">
        <v>2437</v>
      </c>
      <c r="G44" s="99"/>
      <c r="H44" s="99"/>
      <c r="I44" s="490"/>
    </row>
    <row r="45" spans="1:9" ht="15.6">
      <c r="A45" s="394"/>
      <c r="B45" s="99"/>
      <c r="C45" s="99"/>
      <c r="D45" s="99"/>
      <c r="E45" s="490"/>
      <c r="F45" s="1328" t="s">
        <v>1792</v>
      </c>
      <c r="G45" s="99"/>
      <c r="H45" s="99"/>
      <c r="I45" s="490"/>
    </row>
    <row r="46" spans="1:9">
      <c r="A46" s="394"/>
      <c r="B46" s="99"/>
      <c r="C46" s="99"/>
      <c r="D46" s="99"/>
      <c r="E46" s="490"/>
      <c r="F46" s="1765"/>
      <c r="G46" s="1766" t="s">
        <v>2068</v>
      </c>
      <c r="H46" s="1767"/>
      <c r="I46" s="490"/>
    </row>
    <row r="47" spans="1:9">
      <c r="A47" s="394"/>
      <c r="B47" s="99"/>
      <c r="C47" s="99"/>
      <c r="D47" s="99"/>
      <c r="E47" s="490"/>
      <c r="F47" s="1022"/>
      <c r="G47" s="1022"/>
      <c r="H47" s="1022"/>
      <c r="I47" s="490"/>
    </row>
    <row r="48" spans="1:9">
      <c r="A48" s="394"/>
      <c r="B48" s="99"/>
      <c r="C48" s="99"/>
      <c r="D48" s="99"/>
      <c r="E48" s="495"/>
      <c r="F48" s="1327"/>
      <c r="G48" s="1329" t="s">
        <v>1764</v>
      </c>
      <c r="H48" s="273" t="s">
        <v>1747</v>
      </c>
      <c r="I48" s="490"/>
    </row>
    <row r="49" spans="1:11">
      <c r="A49" s="394"/>
      <c r="B49" s="99"/>
      <c r="C49" s="99"/>
      <c r="D49" s="99"/>
      <c r="E49" s="490"/>
      <c r="F49" s="1334" t="s">
        <v>1770</v>
      </c>
      <c r="G49" s="1332"/>
      <c r="H49" s="273" t="s">
        <v>1748</v>
      </c>
      <c r="I49" s="490"/>
    </row>
    <row r="50" spans="1:11">
      <c r="A50" s="394"/>
      <c r="B50" s="99"/>
      <c r="C50" s="99"/>
      <c r="D50" s="99"/>
      <c r="E50" s="490"/>
      <c r="F50" s="1334" t="s">
        <v>1769</v>
      </c>
      <c r="G50" s="1323"/>
      <c r="H50" s="273" t="s">
        <v>1749</v>
      </c>
      <c r="I50" s="490"/>
    </row>
    <row r="51" spans="1:11">
      <c r="A51" s="394"/>
      <c r="B51" s="99"/>
      <c r="C51" s="99"/>
      <c r="D51" s="99"/>
      <c r="E51" s="109" t="s">
        <v>1750</v>
      </c>
      <c r="F51" s="1330"/>
      <c r="G51" s="1322"/>
      <c r="H51" s="1322"/>
      <c r="I51" s="490"/>
    </row>
    <row r="52" spans="1:11">
      <c r="A52" s="394"/>
      <c r="B52" s="99"/>
      <c r="C52" s="99"/>
      <c r="D52" s="99"/>
      <c r="E52" s="1333"/>
      <c r="F52" s="1325" t="s">
        <v>1784</v>
      </c>
      <c r="G52" s="99"/>
      <c r="H52" s="99"/>
      <c r="I52" s="490"/>
    </row>
    <row r="53" spans="1:11">
      <c r="A53" s="394"/>
      <c r="B53" s="929"/>
      <c r="C53" s="391"/>
      <c r="D53" s="1338"/>
      <c r="E53" s="1339"/>
      <c r="F53" s="394"/>
      <c r="G53" s="99"/>
      <c r="H53" s="99"/>
      <c r="I53" s="490"/>
    </row>
    <row r="54" spans="1:11" ht="15.6">
      <c r="A54" s="394"/>
      <c r="B54" s="1276"/>
      <c r="C54" s="708" t="s">
        <v>1779</v>
      </c>
      <c r="D54" s="26"/>
      <c r="E54" s="99"/>
      <c r="F54" s="394"/>
      <c r="G54" s="99"/>
      <c r="H54" s="99"/>
      <c r="I54" s="490"/>
    </row>
    <row r="55" spans="1:11">
      <c r="A55" s="394"/>
      <c r="B55" s="123" t="s">
        <v>1742</v>
      </c>
      <c r="C55" s="187" t="s">
        <v>1757</v>
      </c>
      <c r="D55" s="99"/>
      <c r="E55" s="107"/>
      <c r="F55" s="394"/>
      <c r="G55" s="99"/>
      <c r="H55" s="99"/>
      <c r="I55" s="490"/>
    </row>
    <row r="56" spans="1:11">
      <c r="A56" s="394"/>
      <c r="B56" s="99" t="s">
        <v>1761</v>
      </c>
      <c r="C56" s="99"/>
      <c r="D56" s="99"/>
      <c r="E56" s="99"/>
      <c r="F56" s="394"/>
      <c r="G56" s="99"/>
      <c r="H56" s="99"/>
      <c r="I56" s="490"/>
    </row>
    <row r="57" spans="1:11" ht="15.6">
      <c r="A57" s="394"/>
      <c r="B57" s="123" t="s">
        <v>2988</v>
      </c>
      <c r="C57" s="99"/>
      <c r="D57" s="99"/>
      <c r="E57" s="99"/>
      <c r="F57" s="394"/>
      <c r="G57" s="99"/>
      <c r="H57" s="99"/>
      <c r="I57" s="490"/>
    </row>
    <row r="58" spans="1:11">
      <c r="A58" s="394"/>
      <c r="B58" s="99"/>
      <c r="C58" s="99"/>
      <c r="D58" s="99"/>
      <c r="E58" s="99"/>
      <c r="F58" s="394"/>
      <c r="G58" s="99"/>
      <c r="H58" s="99"/>
      <c r="I58" s="490"/>
    </row>
    <row r="59" spans="1:11">
      <c r="A59" s="394"/>
      <c r="B59" s="99" t="s">
        <v>1759</v>
      </c>
      <c r="C59" s="99"/>
      <c r="D59" s="99"/>
      <c r="E59" s="99"/>
      <c r="F59" s="394"/>
      <c r="G59" s="99"/>
      <c r="H59" s="99"/>
      <c r="I59" s="490"/>
      <c r="K59" s="816"/>
    </row>
    <row r="60" spans="1:11">
      <c r="A60" s="394"/>
      <c r="B60" s="99" t="s">
        <v>1760</v>
      </c>
      <c r="C60" s="99"/>
      <c r="D60" s="26"/>
      <c r="E60" s="99"/>
      <c r="F60" s="1342" t="s">
        <v>1783</v>
      </c>
      <c r="G60" s="99"/>
      <c r="H60" s="99"/>
      <c r="I60" s="490"/>
    </row>
    <row r="61" spans="1:11">
      <c r="A61" s="394"/>
      <c r="B61" s="99" t="s">
        <v>1794</v>
      </c>
      <c r="C61" s="99"/>
      <c r="D61" s="99"/>
      <c r="E61" s="667"/>
      <c r="F61" s="1095"/>
      <c r="G61" s="99"/>
      <c r="H61" s="99"/>
      <c r="I61" s="490"/>
    </row>
    <row r="62" spans="1:11">
      <c r="A62" s="394"/>
      <c r="B62" s="99"/>
      <c r="C62" s="99"/>
      <c r="D62" s="99"/>
      <c r="E62" s="99"/>
      <c r="F62" s="394"/>
      <c r="G62" s="99"/>
      <c r="H62" s="99"/>
      <c r="I62" s="490"/>
    </row>
    <row r="63" spans="1:11">
      <c r="A63" s="394"/>
      <c r="B63" s="99" t="s">
        <v>1795</v>
      </c>
      <c r="C63" s="99"/>
      <c r="D63" s="99"/>
      <c r="E63" s="99"/>
      <c r="F63" s="394"/>
      <c r="G63" s="99"/>
      <c r="H63" s="99"/>
      <c r="I63" s="490"/>
    </row>
    <row r="64" spans="1:11">
      <c r="A64" s="394"/>
      <c r="B64" s="99"/>
      <c r="C64" s="99"/>
      <c r="D64" s="99"/>
      <c r="E64" s="99"/>
      <c r="F64" s="1325" t="s">
        <v>1785</v>
      </c>
      <c r="G64" s="111" t="s">
        <v>1766</v>
      </c>
      <c r="H64" s="99" t="s">
        <v>1767</v>
      </c>
      <c r="I64" s="490"/>
    </row>
    <row r="65" spans="1:14">
      <c r="A65" s="394"/>
      <c r="B65" s="273" t="s">
        <v>1780</v>
      </c>
      <c r="C65" s="99"/>
      <c r="D65" s="99"/>
      <c r="E65" s="99"/>
      <c r="F65" s="394"/>
      <c r="G65" s="111" t="s">
        <v>1765</v>
      </c>
      <c r="H65" s="99" t="s">
        <v>1758</v>
      </c>
      <c r="I65" s="490"/>
    </row>
    <row r="66" spans="1:14">
      <c r="A66" s="394"/>
      <c r="B66" s="507" t="s">
        <v>1762</v>
      </c>
      <c r="C66" s="99"/>
      <c r="D66" s="99"/>
      <c r="E66" s="99"/>
      <c r="F66" s="394"/>
      <c r="G66" s="111" t="s">
        <v>1743</v>
      </c>
      <c r="H66" s="99" t="s">
        <v>1744</v>
      </c>
      <c r="I66" s="490"/>
    </row>
    <row r="67" spans="1:14" ht="15.6">
      <c r="A67" s="394"/>
      <c r="B67" s="99" t="s">
        <v>1781</v>
      </c>
      <c r="C67" s="311"/>
      <c r="D67" s="99"/>
      <c r="E67" s="99"/>
      <c r="F67" s="128" t="s">
        <v>1771</v>
      </c>
      <c r="G67" s="111" t="s">
        <v>1745</v>
      </c>
      <c r="H67" s="99" t="s">
        <v>1746</v>
      </c>
      <c r="I67" s="490"/>
    </row>
    <row r="68" spans="1:14">
      <c r="A68" s="394"/>
      <c r="B68" s="99" t="s">
        <v>1782</v>
      </c>
      <c r="C68" s="313"/>
      <c r="D68" s="99"/>
      <c r="E68" s="99"/>
      <c r="F68" s="128" t="s">
        <v>1772</v>
      </c>
      <c r="G68" s="107"/>
      <c r="H68" s="99"/>
      <c r="I68" s="490"/>
    </row>
    <row r="69" spans="1:14">
      <c r="A69" s="394"/>
      <c r="B69" s="691"/>
      <c r="C69" s="1022"/>
      <c r="D69" s="1022"/>
      <c r="E69" s="99"/>
      <c r="F69" s="128" t="s">
        <v>1773</v>
      </c>
      <c r="G69" s="107"/>
      <c r="H69" s="1331" t="s">
        <v>1756</v>
      </c>
      <c r="I69" s="490"/>
    </row>
    <row r="70" spans="1:14">
      <c r="A70" s="394"/>
      <c r="B70" s="99" t="s">
        <v>1763</v>
      </c>
      <c r="C70" s="99"/>
      <c r="D70" s="99"/>
      <c r="E70" s="99"/>
      <c r="F70" s="394"/>
      <c r="G70" s="99"/>
      <c r="H70" s="99"/>
      <c r="I70" s="490"/>
      <c r="J70" s="4"/>
      <c r="K70" s="4"/>
      <c r="L70" s="4"/>
    </row>
    <row r="71" spans="1:14">
      <c r="A71" s="394"/>
      <c r="B71" s="314"/>
      <c r="C71" s="304"/>
      <c r="D71" s="1340" t="s">
        <v>1776</v>
      </c>
      <c r="E71" s="99"/>
      <c r="F71" s="1326" t="s">
        <v>57</v>
      </c>
      <c r="G71" s="1324"/>
      <c r="H71" s="337" t="s">
        <v>1786</v>
      </c>
      <c r="I71" s="490"/>
      <c r="J71" s="4"/>
      <c r="K71" s="13"/>
      <c r="L71" s="4"/>
    </row>
    <row r="72" spans="1:14">
      <c r="A72" s="394"/>
      <c r="B72" s="985"/>
      <c r="C72" s="302"/>
      <c r="D72" s="1341" t="s">
        <v>1777</v>
      </c>
      <c r="E72" s="99"/>
      <c r="F72" s="1325" t="s">
        <v>1752</v>
      </c>
      <c r="G72" s="262">
        <v>1</v>
      </c>
      <c r="H72" s="99" t="s">
        <v>1753</v>
      </c>
      <c r="I72" s="490"/>
      <c r="J72" s="4"/>
      <c r="K72" s="13"/>
      <c r="L72" s="4"/>
    </row>
    <row r="73" spans="1:14">
      <c r="A73" s="394"/>
      <c r="B73" s="99"/>
      <c r="C73" s="99"/>
      <c r="D73" s="99"/>
      <c r="E73" s="99"/>
      <c r="F73" s="1325" t="s">
        <v>1961</v>
      </c>
      <c r="G73" s="262">
        <v>9.81</v>
      </c>
      <c r="H73" s="99" t="s">
        <v>1754</v>
      </c>
      <c r="I73" s="490"/>
      <c r="J73" s="4"/>
      <c r="K73" s="4"/>
      <c r="L73" s="4"/>
      <c r="M73" s="4"/>
      <c r="N73" s="4"/>
    </row>
    <row r="74" spans="1:14">
      <c r="A74" s="394"/>
      <c r="B74" s="99" t="s">
        <v>1778</v>
      </c>
      <c r="C74" s="99"/>
      <c r="D74" s="99"/>
      <c r="E74" s="99"/>
      <c r="F74" s="1325" t="s">
        <v>1751</v>
      </c>
      <c r="G74" s="2122">
        <f>G72*G73</f>
        <v>9.81</v>
      </c>
      <c r="H74" s="99" t="s">
        <v>1755</v>
      </c>
      <c r="I74" s="490"/>
      <c r="J74" s="4"/>
      <c r="K74" s="4"/>
      <c r="L74" s="4"/>
      <c r="M74" s="4"/>
      <c r="N74" s="4"/>
    </row>
    <row r="75" spans="1:14">
      <c r="A75" s="394"/>
      <c r="B75" s="99" t="s">
        <v>1787</v>
      </c>
      <c r="C75" s="99"/>
      <c r="D75" s="99"/>
      <c r="E75" s="99"/>
      <c r="F75" s="394"/>
      <c r="G75" s="557" t="s">
        <v>1960</v>
      </c>
      <c r="H75" s="99"/>
      <c r="I75" s="490"/>
      <c r="J75" s="4"/>
      <c r="K75" s="4"/>
      <c r="L75" s="4"/>
      <c r="M75" s="640"/>
      <c r="N75" s="4"/>
    </row>
    <row r="76" spans="1:14">
      <c r="A76" s="496"/>
      <c r="B76" s="534" t="s">
        <v>1788</v>
      </c>
      <c r="C76" s="497"/>
      <c r="D76" s="502"/>
      <c r="E76" s="502"/>
      <c r="F76" s="496"/>
      <c r="G76" s="1337" t="s">
        <v>1774</v>
      </c>
      <c r="H76" s="502"/>
      <c r="I76" s="499"/>
      <c r="L76" s="43"/>
      <c r="M76" s="4"/>
      <c r="N76" s="4"/>
    </row>
    <row r="77" spans="1:14">
      <c r="L77" s="43"/>
      <c r="M77" s="4"/>
      <c r="N77" s="4"/>
    </row>
    <row r="78" spans="1:14" ht="15.6">
      <c r="C78"/>
      <c r="D78" s="1335"/>
      <c r="F78"/>
      <c r="L78" s="43"/>
      <c r="M78" s="43"/>
      <c r="N78" s="4"/>
    </row>
    <row r="79" spans="1:14">
      <c r="C79"/>
      <c r="D79"/>
      <c r="E79" s="27"/>
      <c r="F79" s="27"/>
      <c r="G79"/>
      <c r="H79"/>
    </row>
    <row r="80" spans="1:14">
      <c r="C80" s="1336"/>
      <c r="E80" s="26"/>
      <c r="F80" s="27"/>
      <c r="G80" s="1336"/>
    </row>
    <row r="81" spans="3:7">
      <c r="D81"/>
      <c r="E81" s="27"/>
      <c r="F81" s="27"/>
    </row>
    <row r="82" spans="3:7">
      <c r="C82"/>
      <c r="E82" s="638"/>
      <c r="F82" s="27"/>
      <c r="G82"/>
    </row>
    <row r="83" spans="3:7">
      <c r="C83"/>
      <c r="E83" s="26"/>
      <c r="F83" s="26"/>
    </row>
    <row r="84" spans="3:7">
      <c r="E84" s="26"/>
      <c r="F84" s="26"/>
    </row>
    <row r="85" spans="3:7">
      <c r="E85" s="26"/>
      <c r="F85" s="26"/>
    </row>
    <row r="86" spans="3:7">
      <c r="E86" s="26"/>
      <c r="F86" s="26"/>
    </row>
    <row r="87" spans="3:7">
      <c r="E87" s="26"/>
      <c r="F87" s="26"/>
    </row>
    <row r="88" spans="3:7">
      <c r="E88" s="26"/>
      <c r="F88" s="26"/>
    </row>
    <row r="89" spans="3:7">
      <c r="E89" s="26"/>
      <c r="F89" s="26"/>
    </row>
    <row r="90" spans="3:7">
      <c r="E90" s="26"/>
      <c r="F90" s="26"/>
    </row>
    <row r="91" spans="3:7">
      <c r="E91" s="26"/>
      <c r="F91" s="26"/>
    </row>
    <row r="92" spans="3:7">
      <c r="E92" s="26"/>
      <c r="F92" s="26"/>
    </row>
    <row r="93" spans="3:7">
      <c r="E93" s="26"/>
      <c r="F93" s="26"/>
    </row>
    <row r="94" spans="3:7">
      <c r="E94" s="26"/>
      <c r="F94" s="26"/>
    </row>
    <row r="95" spans="3:7">
      <c r="E95" s="26"/>
      <c r="F95" s="26"/>
    </row>
    <row r="96" spans="3:7">
      <c r="E96" s="26"/>
      <c r="F96" s="26"/>
    </row>
    <row r="97" spans="5:6">
      <c r="E97" s="26"/>
      <c r="F97" s="26"/>
    </row>
    <row r="98" spans="5:6">
      <c r="E98" s="26"/>
      <c r="F98" s="26"/>
    </row>
    <row r="99" spans="5:6">
      <c r="E99" s="26"/>
      <c r="F99" s="26"/>
    </row>
    <row r="100" spans="5:6">
      <c r="E100" s="26"/>
      <c r="F100" s="26"/>
    </row>
    <row r="101" spans="5:6">
      <c r="E101" s="26"/>
      <c r="F101" s="26"/>
    </row>
    <row r="102" spans="5:6">
      <c r="E102" s="26"/>
      <c r="F102" s="26"/>
    </row>
    <row r="103" spans="5:6">
      <c r="E103" s="26"/>
      <c r="F103" s="26"/>
    </row>
    <row r="104" spans="5:6">
      <c r="E104" s="26"/>
      <c r="F104" s="26"/>
    </row>
    <row r="105" spans="5:6">
      <c r="E105" s="26"/>
      <c r="F105" s="26"/>
    </row>
    <row r="106" spans="5:6">
      <c r="E106" s="26"/>
      <c r="F106" s="26"/>
    </row>
    <row r="107" spans="5:6">
      <c r="E107" s="26"/>
      <c r="F107" s="26"/>
    </row>
    <row r="108" spans="5:6">
      <c r="E108" s="26"/>
      <c r="F108" s="26"/>
    </row>
    <row r="109" spans="5:6">
      <c r="E109" s="26"/>
      <c r="F109" s="26"/>
    </row>
    <row r="110" spans="5:6">
      <c r="E110" s="26"/>
      <c r="F110" s="26"/>
    </row>
    <row r="111" spans="5:6">
      <c r="E111" s="26"/>
      <c r="F111" s="26"/>
    </row>
    <row r="112" spans="5:6">
      <c r="E112" s="26"/>
      <c r="F112" s="26"/>
    </row>
    <row r="113" spans="5:6">
      <c r="E113" s="26"/>
      <c r="F113" s="26"/>
    </row>
    <row r="114" spans="5:6">
      <c r="E114" s="26"/>
      <c r="F114" s="26"/>
    </row>
    <row r="115" spans="5:6">
      <c r="E115" s="26"/>
      <c r="F115" s="26"/>
    </row>
    <row r="116" spans="5:6">
      <c r="E116" s="26"/>
      <c r="F116" s="26"/>
    </row>
    <row r="117" spans="5:6">
      <c r="E117" s="26"/>
      <c r="F117" s="26"/>
    </row>
    <row r="118" spans="5:6">
      <c r="E118" s="26"/>
      <c r="F118" s="26"/>
    </row>
    <row r="119" spans="5:6">
      <c r="E119" s="26"/>
      <c r="F119" s="26"/>
    </row>
    <row r="120" spans="5:6">
      <c r="E120" s="26"/>
      <c r="F120" s="26"/>
    </row>
  </sheetData>
  <sheetProtection password="CEBA" sheet="1" objects="1" scenarios="1"/>
  <hyperlinks>
    <hyperlink ref="G46" r:id="rId1" display="https://www.youtube.com/watch?v=oUCqT7aM7hE"/>
  </hyperlinks>
  <pageMargins left="0.19685039370078741" right="0" top="0.19685039370078741" bottom="0.19685039370078741" header="0.31496062992125984" footer="0.31496062992125984"/>
  <pageSetup paperSize="9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zoomScaleNormal="100" workbookViewId="0">
      <selection activeCell="J36" sqref="J36"/>
    </sheetView>
  </sheetViews>
  <sheetFormatPr baseColWidth="10" defaultRowHeight="14.4"/>
  <cols>
    <col min="1" max="1" width="1.6640625" customWidth="1"/>
    <col min="2" max="2" width="68.44140625" customWidth="1"/>
    <col min="3" max="3" width="11.6640625" customWidth="1"/>
    <col min="4" max="4" width="24.6640625" customWidth="1"/>
    <col min="5" max="5" width="11.6640625" customWidth="1"/>
    <col min="6" max="6" width="24.6640625" customWidth="1"/>
    <col min="7" max="7" width="1.6640625" customWidth="1"/>
    <col min="9" max="9" width="13.5546875" bestFit="1" customWidth="1"/>
    <col min="10" max="10" width="17.5546875" bestFit="1" customWidth="1"/>
  </cols>
  <sheetData>
    <row r="1" spans="1:11" s="70" customFormat="1" ht="15.6" customHeight="1">
      <c r="A1" s="575"/>
      <c r="B1" s="2120" t="s">
        <v>809</v>
      </c>
      <c r="C1" s="330"/>
      <c r="D1" s="330"/>
      <c r="E1" s="330"/>
      <c r="F1" s="330"/>
      <c r="G1" s="2121" t="s">
        <v>277</v>
      </c>
    </row>
    <row r="2" spans="1:11" s="3" customFormat="1" ht="13.2" customHeight="1">
      <c r="A2" s="394"/>
      <c r="B2" s="822" t="s">
        <v>846</v>
      </c>
      <c r="C2" s="99"/>
      <c r="D2" s="99"/>
      <c r="E2" s="99"/>
      <c r="F2" s="99"/>
      <c r="G2" s="568"/>
      <c r="I2"/>
    </row>
    <row r="3" spans="1:11" s="3" customFormat="1" ht="13.2" customHeight="1">
      <c r="A3" s="394"/>
      <c r="B3" s="1146" t="s">
        <v>1691</v>
      </c>
      <c r="C3" s="99"/>
      <c r="D3" s="99"/>
      <c r="E3" s="99"/>
      <c r="F3" s="99"/>
      <c r="G3" s="568"/>
      <c r="J3"/>
    </row>
    <row r="4" spans="1:11" s="3" customFormat="1" ht="8.4" customHeight="1">
      <c r="A4" s="394"/>
      <c r="B4" s="99"/>
      <c r="C4" s="99"/>
      <c r="D4" s="99"/>
      <c r="E4" s="99"/>
      <c r="F4" s="99"/>
      <c r="G4" s="490"/>
      <c r="I4"/>
    </row>
    <row r="5" spans="1:11" s="3" customFormat="1" ht="13.8">
      <c r="A5" s="394"/>
      <c r="B5" s="124" t="s">
        <v>2664</v>
      </c>
      <c r="C5" s="99"/>
      <c r="D5" s="99"/>
      <c r="E5" s="99"/>
      <c r="F5" s="99"/>
      <c r="G5" s="490"/>
    </row>
    <row r="6" spans="1:11" s="3" customFormat="1" ht="13.8">
      <c r="A6" s="394"/>
      <c r="B6" s="491" t="s">
        <v>840</v>
      </c>
      <c r="C6" s="99"/>
      <c r="D6" s="99"/>
      <c r="E6" s="99"/>
      <c r="F6" s="99"/>
      <c r="G6" s="490"/>
    </row>
    <row r="7" spans="1:11" s="3" customFormat="1">
      <c r="A7" s="394"/>
      <c r="B7" s="491" t="s">
        <v>841</v>
      </c>
      <c r="C7" s="99"/>
      <c r="D7" s="99"/>
      <c r="E7" s="99"/>
      <c r="F7" s="99"/>
      <c r="G7" s="490"/>
      <c r="I7"/>
    </row>
    <row r="8" spans="1:11" s="3" customFormat="1" ht="13.8">
      <c r="A8" s="394"/>
      <c r="B8" s="491" t="s">
        <v>842</v>
      </c>
      <c r="C8" s="99"/>
      <c r="D8" s="99"/>
      <c r="E8" s="99"/>
      <c r="F8" s="99"/>
      <c r="G8" s="490"/>
    </row>
    <row r="9" spans="1:11" s="3" customFormat="1" ht="13.8">
      <c r="A9" s="394"/>
      <c r="B9" s="1063" t="s">
        <v>2464</v>
      </c>
      <c r="C9" s="99"/>
      <c r="D9" s="99"/>
      <c r="E9" s="99"/>
      <c r="F9" s="99"/>
      <c r="G9" s="490"/>
    </row>
    <row r="10" spans="1:11" s="70" customFormat="1" ht="12.6" customHeight="1">
      <c r="A10" s="329"/>
      <c r="B10" s="781" t="s">
        <v>2638</v>
      </c>
      <c r="C10" s="2140"/>
      <c r="D10" s="108"/>
      <c r="E10" s="108"/>
      <c r="F10" s="108"/>
      <c r="G10" s="493"/>
    </row>
    <row r="11" spans="1:11" s="70" customFormat="1" ht="12.6" customHeight="1">
      <c r="A11" s="329"/>
      <c r="B11" s="2139" t="s">
        <v>2526</v>
      </c>
      <c r="C11" s="108"/>
      <c r="D11" s="108"/>
      <c r="E11" s="1905" t="s">
        <v>2465</v>
      </c>
      <c r="F11" s="108"/>
      <c r="G11" s="493"/>
      <c r="K11" s="2141"/>
    </row>
    <row r="12" spans="1:11" s="76" customFormat="1" ht="12.6" customHeight="1">
      <c r="A12" s="425"/>
      <c r="B12" s="2138" t="s">
        <v>2525</v>
      </c>
      <c r="C12" s="2142"/>
      <c r="D12" s="2142"/>
      <c r="E12" s="2142"/>
      <c r="F12" s="2142"/>
      <c r="G12" s="2143"/>
    </row>
    <row r="13" spans="1:11" s="3" customFormat="1" ht="13.8">
      <c r="A13" s="394"/>
      <c r="C13" s="99"/>
      <c r="D13" s="793"/>
      <c r="E13" s="223" t="s">
        <v>86</v>
      </c>
      <c r="F13" s="343" t="s">
        <v>820</v>
      </c>
      <c r="G13" s="490"/>
    </row>
    <row r="14" spans="1:11" s="3" customFormat="1">
      <c r="A14" s="394"/>
      <c r="B14" s="1381" t="s">
        <v>847</v>
      </c>
      <c r="C14" s="823" t="s">
        <v>159</v>
      </c>
      <c r="D14" s="794"/>
      <c r="E14" s="223" t="s">
        <v>66</v>
      </c>
      <c r="F14" s="343" t="s">
        <v>821</v>
      </c>
      <c r="G14" s="490"/>
      <c r="I14" s="1841"/>
    </row>
    <row r="15" spans="1:11" s="3" customFormat="1" ht="13.8">
      <c r="A15" s="394"/>
      <c r="B15" s="556"/>
      <c r="C15" s="99"/>
      <c r="D15" s="795"/>
      <c r="E15" s="223"/>
      <c r="F15" s="343"/>
      <c r="G15" s="490"/>
    </row>
    <row r="16" spans="1:11" s="788" customFormat="1" ht="15.6" customHeight="1">
      <c r="A16" s="525"/>
      <c r="B16" s="143"/>
      <c r="C16" s="99"/>
      <c r="D16" s="99"/>
      <c r="E16" s="99"/>
      <c r="F16" s="834" t="s">
        <v>845</v>
      </c>
      <c r="G16" s="777"/>
      <c r="I16"/>
    </row>
    <row r="17" spans="1:13" s="788" customFormat="1" ht="10.199999999999999" customHeight="1">
      <c r="A17" s="525"/>
      <c r="B17" s="824"/>
      <c r="C17" s="824"/>
      <c r="D17" s="824"/>
      <c r="E17" s="824"/>
      <c r="F17" s="824"/>
      <c r="G17" s="777"/>
      <c r="J17" s="8"/>
    </row>
    <row r="18" spans="1:13" s="788" customFormat="1">
      <c r="A18" s="525"/>
      <c r="B18" s="136" t="s">
        <v>2463</v>
      </c>
      <c r="C18" s="824"/>
      <c r="D18" s="824"/>
      <c r="E18" s="824"/>
      <c r="F18" s="824"/>
      <c r="G18" s="777"/>
      <c r="J18"/>
    </row>
    <row r="19" spans="1:13" s="788" customFormat="1" ht="13.8">
      <c r="A19" s="525"/>
      <c r="B19" s="824" t="s">
        <v>2462</v>
      </c>
      <c r="C19" s="824"/>
      <c r="D19" s="824"/>
      <c r="E19" s="824"/>
      <c r="F19" s="824"/>
      <c r="G19" s="777"/>
    </row>
    <row r="20" spans="1:13" s="788" customFormat="1" ht="12" customHeight="1">
      <c r="A20" s="525"/>
      <c r="B20" s="1391"/>
      <c r="C20" s="824"/>
      <c r="D20" s="824"/>
      <c r="E20" s="824"/>
      <c r="F20" s="824"/>
      <c r="G20" s="777"/>
    </row>
    <row r="21" spans="1:13" s="788" customFormat="1" ht="13.8">
      <c r="A21" s="525"/>
      <c r="B21" s="1391"/>
      <c r="C21" s="824"/>
      <c r="D21" s="796"/>
      <c r="E21" s="824"/>
      <c r="F21" s="796"/>
      <c r="G21" s="777"/>
      <c r="J21" s="1053"/>
      <c r="K21" s="1052"/>
      <c r="M21" s="789"/>
    </row>
    <row r="22" spans="1:13" s="788" customFormat="1">
      <c r="A22" s="525"/>
      <c r="B22" s="790" t="s">
        <v>2503</v>
      </c>
      <c r="C22" s="825" t="s">
        <v>159</v>
      </c>
      <c r="D22" s="797"/>
      <c r="E22" s="142" t="s">
        <v>2263</v>
      </c>
      <c r="F22" s="799"/>
      <c r="G22" s="777"/>
    </row>
    <row r="23" spans="1:13" s="788" customFormat="1" ht="13.8">
      <c r="A23" s="525"/>
      <c r="B23" s="1842" t="s">
        <v>2103</v>
      </c>
      <c r="C23" s="824"/>
      <c r="D23" s="798"/>
      <c r="E23" s="824"/>
      <c r="F23" s="798"/>
      <c r="G23" s="777"/>
      <c r="I23" s="819"/>
      <c r="J23" s="980"/>
      <c r="K23" s="819"/>
    </row>
    <row r="24" spans="1:13" s="788" customFormat="1" ht="13.8">
      <c r="A24" s="525"/>
      <c r="B24" s="1843" t="s">
        <v>2104</v>
      </c>
      <c r="C24" s="824"/>
      <c r="D24" s="824"/>
      <c r="E24" s="824"/>
      <c r="F24" s="824"/>
      <c r="G24" s="777"/>
      <c r="I24" s="819"/>
      <c r="J24" s="819"/>
      <c r="K24" s="819"/>
    </row>
    <row r="25" spans="1:13" s="788" customFormat="1" ht="13.8">
      <c r="A25" s="525"/>
      <c r="B25" s="142"/>
      <c r="C25" s="824"/>
      <c r="D25" s="143" t="s">
        <v>3</v>
      </c>
      <c r="E25" s="824"/>
      <c r="F25" s="824"/>
      <c r="G25" s="777"/>
      <c r="I25" s="800"/>
      <c r="J25" s="800"/>
      <c r="K25" s="800"/>
    </row>
    <row r="26" spans="1:13" s="788" customFormat="1" ht="13.8">
      <c r="A26" s="525"/>
      <c r="B26" s="141" t="s">
        <v>2284</v>
      </c>
      <c r="C26" s="824"/>
      <c r="D26" s="841" t="s">
        <v>1092</v>
      </c>
      <c r="E26" s="824"/>
      <c r="F26" s="1971" t="s">
        <v>2663</v>
      </c>
      <c r="G26" s="777"/>
      <c r="I26" s="800"/>
      <c r="J26" s="800"/>
      <c r="K26" s="800"/>
    </row>
    <row r="27" spans="1:13" s="788" customFormat="1">
      <c r="A27" s="525"/>
      <c r="B27" s="141" t="s">
        <v>843</v>
      </c>
      <c r="C27" s="141" t="s">
        <v>86</v>
      </c>
      <c r="D27" s="1278">
        <v>365.25</v>
      </c>
      <c r="E27" s="824" t="s">
        <v>811</v>
      </c>
      <c r="F27" s="1973" t="s">
        <v>2921</v>
      </c>
      <c r="G27" s="777"/>
      <c r="I27"/>
      <c r="J27"/>
      <c r="K27" s="800"/>
    </row>
    <row r="28" spans="1:13" s="788" customFormat="1">
      <c r="A28" s="525"/>
      <c r="B28" s="141" t="s">
        <v>812</v>
      </c>
      <c r="C28" s="141" t="s">
        <v>66</v>
      </c>
      <c r="D28" s="842">
        <v>149610000000</v>
      </c>
      <c r="E28" s="824" t="s">
        <v>8</v>
      </c>
      <c r="F28" s="2314" t="s">
        <v>2662</v>
      </c>
      <c r="G28" s="777"/>
      <c r="I28" s="800"/>
      <c r="J28" s="1208"/>
      <c r="K28" s="43"/>
      <c r="L28"/>
    </row>
    <row r="29" spans="1:13" s="788" customFormat="1" ht="13.8">
      <c r="A29" s="525"/>
      <c r="C29" s="824"/>
      <c r="D29" s="824"/>
      <c r="E29" s="824"/>
      <c r="F29" s="824"/>
      <c r="G29" s="837"/>
      <c r="I29" s="800"/>
      <c r="J29" s="800"/>
      <c r="K29" s="800"/>
    </row>
    <row r="30" spans="1:13" s="788" customFormat="1">
      <c r="A30" s="525"/>
      <c r="B30" s="122" t="s">
        <v>62</v>
      </c>
      <c r="D30" s="835"/>
      <c r="E30" s="835"/>
      <c r="F30" s="835"/>
      <c r="G30" s="837"/>
      <c r="I30" s="800"/>
      <c r="J30" s="43"/>
      <c r="K30" s="43"/>
    </row>
    <row r="31" spans="1:13" s="788" customFormat="1" ht="15.6">
      <c r="A31" s="525"/>
      <c r="B31" s="826" t="s">
        <v>2510</v>
      </c>
      <c r="C31" s="184" t="s">
        <v>2521</v>
      </c>
      <c r="D31" s="99"/>
      <c r="E31" s="99"/>
      <c r="F31" s="99"/>
      <c r="G31" s="777"/>
      <c r="I31" s="819"/>
      <c r="J31" s="819"/>
      <c r="K31" s="819"/>
    </row>
    <row r="32" spans="1:13" s="788" customFormat="1" ht="16.2">
      <c r="A32" s="525"/>
      <c r="B32" s="826" t="s">
        <v>813</v>
      </c>
      <c r="C32" s="184" t="s">
        <v>2512</v>
      </c>
      <c r="D32" s="99"/>
      <c r="E32" s="99"/>
      <c r="F32" s="99"/>
      <c r="G32" s="777"/>
    </row>
    <row r="33" spans="1:11" s="788" customFormat="1" ht="13.8">
      <c r="A33" s="525"/>
      <c r="B33" s="1391"/>
      <c r="C33" s="1391"/>
      <c r="D33" s="1391"/>
      <c r="E33" s="1391"/>
      <c r="F33" s="1391"/>
      <c r="G33" s="777"/>
    </row>
    <row r="34" spans="1:11" s="788" customFormat="1" ht="13.8">
      <c r="A34" s="525"/>
      <c r="B34" s="822"/>
      <c r="C34" s="824"/>
      <c r="D34" s="143" t="s">
        <v>4</v>
      </c>
      <c r="E34" s="824"/>
      <c r="F34" s="791"/>
      <c r="G34" s="777"/>
      <c r="I34" s="1052"/>
    </row>
    <row r="35" spans="1:11" s="788" customFormat="1" ht="16.8">
      <c r="A35" s="525"/>
      <c r="B35" s="1391"/>
      <c r="C35" s="141" t="s">
        <v>2901</v>
      </c>
      <c r="D35" s="1464">
        <f>POWER((D27*24*60*60),2)/POWER(D28,3)</f>
        <v>2.9738979762328893E-19</v>
      </c>
      <c r="E35" s="99" t="s">
        <v>2506</v>
      </c>
      <c r="F35" s="98"/>
      <c r="G35" s="777"/>
    </row>
    <row r="36" spans="1:11" s="788" customFormat="1" ht="13.8">
      <c r="A36" s="525"/>
      <c r="B36" s="1391"/>
      <c r="C36" s="824"/>
      <c r="D36" s="890" t="s">
        <v>2923</v>
      </c>
      <c r="E36" s="824"/>
      <c r="F36" s="792"/>
      <c r="G36" s="777"/>
    </row>
    <row r="37" spans="1:11" s="788" customFormat="1" ht="13.8">
      <c r="A37" s="525"/>
      <c r="B37" s="1997" t="s">
        <v>2238</v>
      </c>
      <c r="C37" s="141"/>
      <c r="D37" s="1846" t="s">
        <v>2922</v>
      </c>
      <c r="E37" s="824"/>
      <c r="F37" s="819"/>
      <c r="G37" s="777"/>
    </row>
    <row r="38" spans="1:11" s="788" customFormat="1">
      <c r="A38" s="525"/>
      <c r="B38" s="822" t="s">
        <v>2233</v>
      </c>
      <c r="C38" s="824"/>
      <c r="D38" s="1845" t="s">
        <v>2264</v>
      </c>
      <c r="E38" s="824"/>
      <c r="F38" s="791"/>
      <c r="G38" s="777"/>
      <c r="I38" s="1052"/>
      <c r="J38"/>
      <c r="K38"/>
    </row>
    <row r="39" spans="1:11" s="788" customFormat="1" ht="16.8">
      <c r="A39" s="525"/>
      <c r="B39" s="1844"/>
      <c r="C39" s="2000" t="s">
        <v>2901</v>
      </c>
      <c r="D39" s="2032">
        <f>POWER(D28,3)/(POWER((D27*24*60*60),2))</f>
        <v>3.3625901358819476E+18</v>
      </c>
      <c r="E39" s="99" t="s">
        <v>2507</v>
      </c>
      <c r="F39" s="813"/>
      <c r="G39" s="777"/>
    </row>
    <row r="40" spans="1:11" s="788" customFormat="1" ht="16.2" customHeight="1">
      <c r="A40" s="525"/>
      <c r="B40" s="2168" t="s">
        <v>2902</v>
      </c>
      <c r="C40" s="824"/>
      <c r="D40" s="143"/>
      <c r="E40" s="824"/>
      <c r="F40" s="792"/>
      <c r="G40" s="777"/>
    </row>
    <row r="41" spans="1:11" s="788" customFormat="1" ht="6.6" customHeight="1">
      <c r="A41" s="828"/>
      <c r="B41" s="820"/>
      <c r="C41" s="829"/>
      <c r="D41" s="836"/>
      <c r="E41" s="829"/>
      <c r="F41" s="820"/>
      <c r="G41" s="838"/>
    </row>
    <row r="42" spans="1:11" s="788" customFormat="1" ht="15.6">
      <c r="A42" s="528"/>
      <c r="B42" s="830"/>
      <c r="C42" s="830"/>
      <c r="D42" s="839"/>
      <c r="E42" s="830"/>
      <c r="F42" s="830"/>
      <c r="G42" s="487" t="s">
        <v>278</v>
      </c>
    </row>
    <row r="43" spans="1:11" s="788" customFormat="1" ht="15.6">
      <c r="A43" s="525"/>
      <c r="B43" s="143" t="s">
        <v>849</v>
      </c>
      <c r="C43" s="824"/>
      <c r="D43" s="143"/>
      <c r="E43" s="824"/>
      <c r="F43" s="824"/>
      <c r="G43" s="568"/>
    </row>
    <row r="44" spans="1:11" s="788" customFormat="1" ht="13.8">
      <c r="A44" s="525"/>
      <c r="B44" s="136" t="s">
        <v>1963</v>
      </c>
      <c r="C44" s="824"/>
      <c r="D44" s="143"/>
      <c r="E44" s="824"/>
      <c r="F44" s="824"/>
      <c r="G44" s="777"/>
    </row>
    <row r="45" spans="1:11" s="788" customFormat="1" ht="13.8">
      <c r="A45" s="525"/>
      <c r="B45" s="136" t="s">
        <v>1964</v>
      </c>
      <c r="C45" s="824"/>
      <c r="D45" s="824"/>
      <c r="E45" s="824"/>
      <c r="F45" s="824"/>
      <c r="G45" s="777"/>
    </row>
    <row r="46" spans="1:11" s="788" customFormat="1" ht="13.8">
      <c r="A46" s="525"/>
      <c r="B46" s="136" t="s">
        <v>1965</v>
      </c>
      <c r="C46" s="824"/>
      <c r="D46" s="824"/>
      <c r="E46" s="824"/>
      <c r="F46" s="824"/>
      <c r="G46" s="777"/>
    </row>
    <row r="47" spans="1:11" s="788" customFormat="1" ht="13.8">
      <c r="A47" s="525"/>
      <c r="B47" s="136" t="s">
        <v>1966</v>
      </c>
      <c r="C47" s="824"/>
      <c r="D47" s="824"/>
      <c r="E47" s="824"/>
      <c r="F47" s="824"/>
      <c r="G47" s="777"/>
    </row>
    <row r="48" spans="1:11" s="788" customFormat="1">
      <c r="A48" s="525"/>
      <c r="B48" s="136" t="s">
        <v>1967</v>
      </c>
      <c r="C48" s="824"/>
      <c r="D48" s="824"/>
      <c r="E48" s="824"/>
      <c r="F48" s="824"/>
      <c r="G48" s="777"/>
      <c r="J48"/>
    </row>
    <row r="49" spans="1:12" s="788" customFormat="1" ht="13.8">
      <c r="A49" s="525"/>
      <c r="B49" s="136" t="s">
        <v>2466</v>
      </c>
      <c r="C49" s="824"/>
      <c r="D49" s="824"/>
      <c r="E49" s="824"/>
      <c r="F49" s="824"/>
      <c r="G49" s="777"/>
    </row>
    <row r="50" spans="1:12" s="788" customFormat="1">
      <c r="A50" s="525"/>
      <c r="B50" s="819"/>
      <c r="C50" s="824"/>
      <c r="D50" s="824"/>
      <c r="E50" s="824"/>
      <c r="F50" s="897" t="s">
        <v>2924</v>
      </c>
      <c r="G50" s="777"/>
      <c r="J50"/>
    </row>
    <row r="51" spans="1:12" s="788" customFormat="1">
      <c r="A51" s="525"/>
      <c r="B51" s="143" t="s">
        <v>858</v>
      </c>
      <c r="C51" s="824"/>
      <c r="D51" s="824"/>
      <c r="E51" s="824"/>
      <c r="F51" s="824"/>
      <c r="G51" s="777"/>
      <c r="I51"/>
      <c r="J51"/>
    </row>
    <row r="52" spans="1:12" s="788" customFormat="1">
      <c r="A52" s="525"/>
      <c r="B52" s="142" t="s">
        <v>1804</v>
      </c>
      <c r="C52" s="824"/>
      <c r="D52" s="824"/>
      <c r="E52" s="824"/>
      <c r="F52" s="824"/>
      <c r="G52" s="777"/>
      <c r="I52"/>
      <c r="J52"/>
    </row>
    <row r="53" spans="1:12" s="788" customFormat="1" ht="16.2">
      <c r="A53" s="525"/>
      <c r="B53" s="142" t="s">
        <v>2537</v>
      </c>
      <c r="C53" s="824"/>
      <c r="D53" s="824"/>
      <c r="E53" s="824"/>
      <c r="F53" s="824"/>
      <c r="G53" s="777"/>
    </row>
    <row r="54" spans="1:12" s="788" customFormat="1">
      <c r="A54" s="525"/>
      <c r="B54" s="142" t="s">
        <v>859</v>
      </c>
      <c r="C54" s="825" t="s">
        <v>159</v>
      </c>
      <c r="D54" s="51"/>
      <c r="E54" s="824"/>
      <c r="F54" s="824"/>
      <c r="G54" s="777"/>
      <c r="J54"/>
      <c r="K54"/>
    </row>
    <row r="55" spans="1:12" s="788" customFormat="1">
      <c r="A55" s="525"/>
      <c r="B55" s="824"/>
      <c r="C55" s="824"/>
      <c r="D55" s="824"/>
      <c r="E55" s="824"/>
      <c r="F55" s="824"/>
      <c r="G55" s="777"/>
      <c r="J55"/>
    </row>
    <row r="56" spans="1:12" s="788" customFormat="1">
      <c r="A56" s="525"/>
      <c r="B56" s="142" t="s">
        <v>1968</v>
      </c>
      <c r="C56" s="825" t="s">
        <v>159</v>
      </c>
      <c r="D56" s="48"/>
      <c r="E56" s="824"/>
      <c r="F56" s="824"/>
      <c r="G56" s="777"/>
    </row>
    <row r="57" spans="1:12" s="788" customFormat="1" ht="13.8">
      <c r="A57" s="525"/>
      <c r="B57" s="1779" t="s">
        <v>1969</v>
      </c>
      <c r="C57" s="824"/>
      <c r="D57" s="798"/>
      <c r="E57" s="824"/>
      <c r="F57" s="824"/>
      <c r="G57" s="777"/>
      <c r="L57" s="790"/>
    </row>
    <row r="58" spans="1:12" s="788" customFormat="1">
      <c r="A58" s="525"/>
      <c r="B58" s="824"/>
      <c r="C58" s="824"/>
      <c r="D58" s="819"/>
      <c r="E58" s="824"/>
      <c r="F58" s="824"/>
      <c r="G58" s="777"/>
      <c r="K58"/>
    </row>
    <row r="59" spans="1:12" s="788" customFormat="1">
      <c r="A59" s="525"/>
      <c r="B59" s="142" t="s">
        <v>822</v>
      </c>
      <c r="C59" s="825" t="s">
        <v>159</v>
      </c>
      <c r="D59" s="51"/>
      <c r="E59" s="824"/>
      <c r="F59" s="824"/>
      <c r="G59" s="777"/>
      <c r="J59"/>
    </row>
    <row r="60" spans="1:12" s="788" customFormat="1" ht="13.8">
      <c r="A60" s="525"/>
      <c r="B60" s="824"/>
      <c r="C60" s="824"/>
      <c r="D60" s="819"/>
      <c r="E60" s="824"/>
      <c r="F60" s="824"/>
      <c r="G60" s="777"/>
    </row>
    <row r="61" spans="1:12" s="788" customFormat="1" ht="13.8">
      <c r="A61" s="525"/>
      <c r="B61" s="142"/>
      <c r="C61" s="824"/>
      <c r="D61" s="796"/>
      <c r="E61" s="824"/>
      <c r="F61" s="824"/>
      <c r="G61" s="777"/>
    </row>
    <row r="62" spans="1:12" s="788" customFormat="1">
      <c r="A62" s="525"/>
      <c r="B62" s="142" t="s">
        <v>823</v>
      </c>
      <c r="C62" s="825" t="s">
        <v>159</v>
      </c>
      <c r="D62" s="799"/>
      <c r="E62" s="824"/>
      <c r="F62" s="824"/>
      <c r="G62" s="777"/>
      <c r="J62"/>
    </row>
    <row r="63" spans="1:12" s="788" customFormat="1" ht="13.8">
      <c r="A63" s="525"/>
      <c r="B63" s="824"/>
      <c r="C63" s="824"/>
      <c r="D63" s="798"/>
      <c r="E63" s="824"/>
      <c r="F63" s="824"/>
      <c r="G63" s="777"/>
    </row>
    <row r="64" spans="1:12" s="788" customFormat="1" ht="13.8">
      <c r="A64" s="525"/>
      <c r="B64" s="824"/>
      <c r="C64" s="824"/>
      <c r="D64" s="824"/>
      <c r="E64" s="1996" t="s">
        <v>2237</v>
      </c>
      <c r="F64" s="824"/>
      <c r="G64" s="777"/>
    </row>
    <row r="65" spans="1:11" s="788" customFormat="1" ht="13.8">
      <c r="A65" s="525"/>
      <c r="B65" s="142"/>
      <c r="C65" s="824"/>
      <c r="D65" s="824"/>
      <c r="E65" s="824"/>
      <c r="F65" s="824"/>
      <c r="G65" s="777"/>
    </row>
    <row r="66" spans="1:11" s="788" customFormat="1" ht="13.8">
      <c r="A66" s="525"/>
      <c r="B66" s="142" t="s">
        <v>814</v>
      </c>
      <c r="C66" s="824"/>
      <c r="D66" s="801"/>
      <c r="E66" s="802"/>
      <c r="F66" s="803"/>
      <c r="G66" s="777"/>
    </row>
    <row r="67" spans="1:11" s="788" customFormat="1">
      <c r="A67" s="525"/>
      <c r="B67" s="142" t="s">
        <v>860</v>
      </c>
      <c r="C67" s="825" t="s">
        <v>159</v>
      </c>
      <c r="D67" s="804"/>
      <c r="E67" s="805"/>
      <c r="F67" s="806"/>
      <c r="G67" s="777"/>
      <c r="K67"/>
    </row>
    <row r="68" spans="1:11" s="788" customFormat="1" ht="13.8">
      <c r="A68" s="525"/>
      <c r="B68" s="819"/>
      <c r="C68" s="824"/>
      <c r="D68" s="807"/>
      <c r="E68" s="808"/>
      <c r="F68" s="809"/>
      <c r="G68" s="777"/>
    </row>
    <row r="69" spans="1:11" s="817" customFormat="1" ht="13.8">
      <c r="A69" s="525"/>
      <c r="B69" s="142"/>
      <c r="C69" s="824"/>
      <c r="D69" s="824"/>
      <c r="E69" s="824"/>
      <c r="F69" s="824"/>
      <c r="G69" s="777"/>
    </row>
    <row r="70" spans="1:11" s="788" customFormat="1" ht="13.8">
      <c r="A70" s="525"/>
      <c r="B70" s="142"/>
      <c r="C70" s="824"/>
      <c r="D70" s="824"/>
      <c r="E70" s="824"/>
      <c r="F70" s="824"/>
      <c r="G70" s="777"/>
    </row>
    <row r="71" spans="1:11" s="788" customFormat="1" ht="13.8">
      <c r="A71" s="525"/>
      <c r="B71" s="142" t="s">
        <v>2925</v>
      </c>
      <c r="C71" s="824"/>
      <c r="D71" s="801"/>
      <c r="E71" s="802"/>
      <c r="F71" s="803"/>
      <c r="G71" s="777"/>
    </row>
    <row r="72" spans="1:11" s="788" customFormat="1">
      <c r="A72" s="525"/>
      <c r="B72" s="142" t="s">
        <v>2926</v>
      </c>
      <c r="C72" s="825" t="s">
        <v>159</v>
      </c>
      <c r="D72" s="810"/>
      <c r="E72" s="805"/>
      <c r="F72" s="806"/>
      <c r="G72" s="777"/>
    </row>
    <row r="73" spans="1:11" s="788" customFormat="1">
      <c r="A73" s="525"/>
      <c r="B73" s="142" t="s">
        <v>1090</v>
      </c>
      <c r="C73" s="824"/>
      <c r="D73" s="804"/>
      <c r="E73" s="805"/>
      <c r="F73" s="806"/>
      <c r="G73" s="777"/>
    </row>
    <row r="74" spans="1:11" s="788" customFormat="1" ht="13.8">
      <c r="A74" s="525"/>
      <c r="B74" s="142" t="s">
        <v>1089</v>
      </c>
      <c r="C74" s="824"/>
      <c r="D74" s="807"/>
      <c r="E74" s="808"/>
      <c r="F74" s="809"/>
      <c r="G74" s="777"/>
    </row>
    <row r="75" spans="1:11" s="817" customFormat="1" ht="13.8">
      <c r="A75" s="525"/>
      <c r="B75" s="142"/>
      <c r="C75" s="824"/>
      <c r="D75" s="824"/>
      <c r="E75" s="824"/>
      <c r="F75" s="824"/>
      <c r="G75" s="777"/>
    </row>
    <row r="76" spans="1:11" s="788" customFormat="1" ht="13.8">
      <c r="A76" s="525"/>
      <c r="B76" s="142"/>
      <c r="C76" s="824"/>
      <c r="D76" s="824"/>
      <c r="E76" s="824"/>
      <c r="F76" s="824"/>
      <c r="G76" s="777"/>
    </row>
    <row r="77" spans="1:11" s="788" customFormat="1">
      <c r="A77" s="525"/>
      <c r="B77" s="142"/>
      <c r="C77" s="824"/>
      <c r="D77" s="801"/>
      <c r="E77" s="811"/>
      <c r="F77" s="557" t="s">
        <v>810</v>
      </c>
      <c r="G77" s="777"/>
    </row>
    <row r="78" spans="1:11" s="788" customFormat="1">
      <c r="A78" s="525"/>
      <c r="B78" s="142" t="s">
        <v>815</v>
      </c>
      <c r="C78" s="825" t="s">
        <v>159</v>
      </c>
      <c r="D78" s="810"/>
      <c r="E78" s="812"/>
      <c r="F78" s="557" t="s">
        <v>817</v>
      </c>
      <c r="G78" s="777"/>
      <c r="J78"/>
    </row>
    <row r="79" spans="1:11" s="788" customFormat="1" ht="13.8">
      <c r="A79" s="525"/>
      <c r="B79" s="142" t="s">
        <v>816</v>
      </c>
      <c r="C79" s="824"/>
      <c r="D79" s="810"/>
      <c r="E79" s="806"/>
      <c r="F79" s="557" t="s">
        <v>818</v>
      </c>
      <c r="G79" s="777"/>
    </row>
    <row r="80" spans="1:11" s="788" customFormat="1" ht="13.8">
      <c r="A80" s="525"/>
      <c r="B80" s="824"/>
      <c r="C80" s="824"/>
      <c r="D80" s="807"/>
      <c r="E80" s="809"/>
      <c r="F80" s="344" t="s">
        <v>819</v>
      </c>
      <c r="G80" s="777"/>
    </row>
    <row r="81" spans="1:11" s="788" customFormat="1" ht="9" customHeight="1">
      <c r="A81" s="828"/>
      <c r="B81" s="829"/>
      <c r="C81" s="829"/>
      <c r="D81" s="829"/>
      <c r="E81" s="829"/>
      <c r="F81" s="883"/>
      <c r="G81" s="838"/>
    </row>
    <row r="82" spans="1:11" s="788" customFormat="1" ht="15.6">
      <c r="A82" s="528"/>
      <c r="B82" s="830"/>
      <c r="C82" s="830"/>
      <c r="D82" s="830"/>
      <c r="E82" s="830"/>
      <c r="F82" s="840"/>
      <c r="G82" s="487" t="s">
        <v>279</v>
      </c>
      <c r="J82"/>
    </row>
    <row r="83" spans="1:11" s="788" customFormat="1" ht="13.8" customHeight="1">
      <c r="A83" s="525"/>
      <c r="B83" s="824"/>
      <c r="C83" s="824"/>
      <c r="D83" s="824"/>
      <c r="E83" s="107"/>
      <c r="F83" s="824"/>
      <c r="G83" s="777"/>
      <c r="J83"/>
    </row>
    <row r="84" spans="1:11" s="788" customFormat="1">
      <c r="A84" s="525"/>
      <c r="B84" s="142" t="s">
        <v>2927</v>
      </c>
      <c r="C84" s="825" t="s">
        <v>159</v>
      </c>
      <c r="D84" s="796"/>
      <c r="E84" s="825" t="s">
        <v>159</v>
      </c>
      <c r="F84" s="48"/>
      <c r="G84" s="777"/>
      <c r="K84"/>
    </row>
    <row r="85" spans="1:11" s="788" customFormat="1" ht="13.8">
      <c r="A85" s="525"/>
      <c r="B85" s="831" t="s">
        <v>838</v>
      </c>
      <c r="C85" s="824"/>
      <c r="D85" s="798"/>
      <c r="E85" s="824"/>
      <c r="F85" s="798"/>
      <c r="G85" s="777"/>
    </row>
    <row r="86" spans="1:11" s="788" customFormat="1" ht="13.8" customHeight="1">
      <c r="A86" s="525"/>
      <c r="B86" s="107"/>
      <c r="C86" s="824"/>
      <c r="D86" s="824"/>
      <c r="E86" s="824"/>
      <c r="F86" s="824"/>
      <c r="G86" s="777"/>
      <c r="J86"/>
      <c r="K86"/>
    </row>
    <row r="87" spans="1:11" s="788" customFormat="1">
      <c r="A87" s="525"/>
      <c r="B87" s="136" t="s">
        <v>2223</v>
      </c>
      <c r="C87" s="824"/>
      <c r="D87" s="824"/>
      <c r="E87" s="824"/>
      <c r="F87" s="824"/>
      <c r="G87" s="777"/>
      <c r="J87"/>
    </row>
    <row r="88" spans="1:11" s="788" customFormat="1">
      <c r="A88" s="525"/>
      <c r="B88" s="136" t="s">
        <v>2224</v>
      </c>
      <c r="C88" s="824"/>
      <c r="D88" s="824"/>
      <c r="E88" s="824"/>
      <c r="F88" s="824"/>
      <c r="G88" s="777"/>
      <c r="J88"/>
      <c r="K88"/>
    </row>
    <row r="89" spans="1:11" s="788" customFormat="1" ht="13.8" customHeight="1">
      <c r="A89" s="525"/>
      <c r="B89" s="142"/>
      <c r="C89" s="824"/>
      <c r="D89" s="824"/>
      <c r="E89" s="824"/>
      <c r="F89" s="824"/>
      <c r="G89" s="777"/>
      <c r="J89"/>
      <c r="K89"/>
    </row>
    <row r="90" spans="1:11" s="788" customFormat="1">
      <c r="A90" s="525"/>
      <c r="B90" s="142" t="s">
        <v>856</v>
      </c>
      <c r="C90" s="825" t="s">
        <v>159</v>
      </c>
      <c r="D90" s="796"/>
      <c r="E90" s="824"/>
      <c r="F90" s="796"/>
      <c r="G90" s="777"/>
      <c r="J90"/>
      <c r="K90"/>
    </row>
    <row r="91" spans="1:11" s="788" customFormat="1">
      <c r="A91" s="525"/>
      <c r="B91" s="142" t="s">
        <v>837</v>
      </c>
      <c r="C91" s="824"/>
      <c r="D91" s="798"/>
      <c r="E91" s="142" t="s">
        <v>825</v>
      </c>
      <c r="F91" s="798"/>
      <c r="G91" s="777"/>
      <c r="J91"/>
      <c r="K91"/>
    </row>
    <row r="92" spans="1:11" s="788" customFormat="1" ht="13.8" customHeight="1">
      <c r="A92" s="525"/>
      <c r="B92" s="824"/>
      <c r="C92" s="824"/>
      <c r="D92" s="800"/>
      <c r="E92" s="824"/>
      <c r="F92" s="824" t="s">
        <v>826</v>
      </c>
      <c r="G92" s="777"/>
      <c r="I92"/>
      <c r="J92"/>
    </row>
    <row r="93" spans="1:11" s="788" customFormat="1">
      <c r="A93" s="525"/>
      <c r="B93" s="142" t="s">
        <v>2538</v>
      </c>
      <c r="C93" s="825" t="s">
        <v>159</v>
      </c>
      <c r="D93" s="796"/>
      <c r="E93" s="824"/>
      <c r="F93" s="824"/>
      <c r="G93" s="777"/>
      <c r="I93"/>
      <c r="K93"/>
    </row>
    <row r="94" spans="1:11" s="3" customFormat="1">
      <c r="A94" s="394"/>
      <c r="B94" s="111"/>
      <c r="C94" s="111"/>
      <c r="D94" s="795"/>
      <c r="E94" s="99"/>
      <c r="F94" s="99"/>
      <c r="G94" s="490"/>
      <c r="J94"/>
    </row>
    <row r="95" spans="1:11" s="3" customFormat="1" ht="13.8" customHeight="1">
      <c r="A95" s="394"/>
      <c r="B95" s="99"/>
      <c r="C95" s="99"/>
      <c r="D95" s="99"/>
      <c r="E95" s="99"/>
      <c r="F95" s="99"/>
      <c r="G95" s="490"/>
      <c r="I95"/>
      <c r="J95"/>
    </row>
    <row r="96" spans="1:11" s="3" customFormat="1" ht="13.8" customHeight="1">
      <c r="A96" s="394"/>
      <c r="B96" s="105" t="s">
        <v>2539</v>
      </c>
      <c r="C96" s="99"/>
      <c r="D96" s="99"/>
      <c r="E96" s="99"/>
      <c r="F96" s="99"/>
      <c r="G96" s="490"/>
      <c r="I96"/>
    </row>
    <row r="97" spans="1:10" s="3" customFormat="1">
      <c r="A97" s="394"/>
      <c r="B97" s="99"/>
      <c r="C97" s="99"/>
      <c r="D97" s="105" t="s">
        <v>3</v>
      </c>
      <c r="E97" s="99"/>
      <c r="F97" s="99"/>
      <c r="G97" s="490"/>
      <c r="I97"/>
    </row>
    <row r="98" spans="1:10" s="3" customFormat="1">
      <c r="A98" s="394"/>
      <c r="B98" s="506" t="s">
        <v>829</v>
      </c>
      <c r="C98" s="99"/>
      <c r="D98" s="843" t="s">
        <v>2522</v>
      </c>
      <c r="E98" s="99"/>
      <c r="F98" s="99"/>
      <c r="G98" s="490"/>
      <c r="I98"/>
      <c r="J98"/>
    </row>
    <row r="99" spans="1:10" s="3" customFormat="1">
      <c r="A99" s="394"/>
      <c r="B99" s="506" t="s">
        <v>827</v>
      </c>
      <c r="C99" s="111" t="s">
        <v>828</v>
      </c>
      <c r="D99" s="843">
        <v>224.7</v>
      </c>
      <c r="E99" s="99" t="s">
        <v>2231</v>
      </c>
      <c r="F99" s="99"/>
      <c r="G99" s="490"/>
      <c r="I99"/>
      <c r="J99"/>
    </row>
    <row r="100" spans="1:10" s="3" customFormat="1">
      <c r="A100" s="394"/>
      <c r="B100" s="506" t="s">
        <v>812</v>
      </c>
      <c r="C100" s="111" t="s">
        <v>676</v>
      </c>
      <c r="D100" s="844">
        <v>108200000000</v>
      </c>
      <c r="E100" s="99" t="s">
        <v>681</v>
      </c>
      <c r="F100" s="814"/>
      <c r="G100" s="490"/>
      <c r="I100"/>
    </row>
    <row r="101" spans="1:10" s="3" customFormat="1" ht="16.8">
      <c r="A101" s="394"/>
      <c r="B101" s="506" t="s">
        <v>831</v>
      </c>
      <c r="C101" s="111" t="s">
        <v>824</v>
      </c>
      <c r="D101" s="1467">
        <f>POWER(D100,3)/POWER((D99*24*60*60),2)</f>
        <v>3.3608424382445087E+18</v>
      </c>
      <c r="E101" s="99" t="s">
        <v>2232</v>
      </c>
      <c r="F101" s="755"/>
      <c r="G101" s="490"/>
      <c r="I101"/>
      <c r="J101"/>
    </row>
    <row r="102" spans="1:10" s="3" customFormat="1">
      <c r="A102" s="394"/>
      <c r="B102" s="506" t="s">
        <v>830</v>
      </c>
      <c r="C102" s="111" t="s">
        <v>674</v>
      </c>
      <c r="D102" s="844">
        <v>1.9890999999999999E+30</v>
      </c>
      <c r="E102" s="99" t="s">
        <v>680</v>
      </c>
      <c r="F102" s="815"/>
      <c r="G102" s="490"/>
      <c r="I102"/>
    </row>
    <row r="103" spans="1:10" s="3" customFormat="1" ht="13.8" customHeight="1">
      <c r="A103" s="394"/>
      <c r="B103" s="111"/>
      <c r="C103" s="111"/>
      <c r="D103" s="100"/>
      <c r="E103" s="99"/>
      <c r="F103" s="99"/>
      <c r="G103" s="490"/>
      <c r="I103"/>
    </row>
    <row r="104" spans="1:10" s="3" customFormat="1" ht="15.6" customHeight="1">
      <c r="A104" s="394"/>
      <c r="B104" s="826" t="s">
        <v>2511</v>
      </c>
      <c r="C104" s="184" t="s">
        <v>2520</v>
      </c>
      <c r="D104" s="99"/>
      <c r="E104" s="99"/>
      <c r="F104" s="99"/>
      <c r="G104" s="490"/>
      <c r="I104"/>
    </row>
    <row r="105" spans="1:10" s="3" customFormat="1" ht="15.6" customHeight="1">
      <c r="A105" s="394"/>
      <c r="B105" s="826" t="s">
        <v>813</v>
      </c>
      <c r="C105" s="184" t="s">
        <v>2513</v>
      </c>
      <c r="D105" s="99"/>
      <c r="E105" s="99"/>
      <c r="F105" s="99"/>
      <c r="G105" s="490"/>
      <c r="I105"/>
      <c r="J105"/>
    </row>
    <row r="106" spans="1:10" s="3" customFormat="1" ht="10.8" customHeight="1">
      <c r="A106" s="394"/>
      <c r="B106" s="111"/>
      <c r="C106" s="111"/>
      <c r="D106" s="100"/>
      <c r="E106" s="99"/>
      <c r="F106" s="99"/>
      <c r="G106" s="490"/>
      <c r="I106"/>
    </row>
    <row r="107" spans="1:10" s="78" customFormat="1" ht="16.2" customHeight="1">
      <c r="A107" s="505"/>
      <c r="B107" s="507"/>
      <c r="C107" s="507"/>
      <c r="D107" s="2161" t="s">
        <v>4</v>
      </c>
      <c r="E107" s="507"/>
      <c r="F107" s="507"/>
      <c r="G107" s="787"/>
      <c r="I107" s="592"/>
    </row>
    <row r="108" spans="1:10" s="3" customFormat="1" ht="15.6" customHeight="1">
      <c r="A108" s="394"/>
      <c r="B108" s="506" t="s">
        <v>2514</v>
      </c>
      <c r="C108" s="111" t="s">
        <v>673</v>
      </c>
      <c r="D108" s="1465">
        <f>4*POWER(PI(),2)*D101/D102</f>
        <v>6.6703906932513991E-11</v>
      </c>
      <c r="E108" s="99" t="s">
        <v>2505</v>
      </c>
      <c r="F108" s="311"/>
      <c r="G108" s="490"/>
      <c r="I108"/>
    </row>
    <row r="109" spans="1:10" s="3" customFormat="1" ht="15.6" customHeight="1">
      <c r="A109" s="394"/>
      <c r="B109" s="506" t="s">
        <v>1091</v>
      </c>
      <c r="C109" s="111" t="s">
        <v>832</v>
      </c>
      <c r="D109" s="2159">
        <v>6.6742799999999995E-11</v>
      </c>
      <c r="E109" s="99" t="s">
        <v>2505</v>
      </c>
      <c r="F109" s="313"/>
      <c r="G109" s="490"/>
      <c r="I109"/>
    </row>
    <row r="110" spans="1:10" s="3" customFormat="1" ht="15.6" customHeight="1">
      <c r="A110" s="394"/>
      <c r="B110" s="506" t="s">
        <v>2540</v>
      </c>
      <c r="C110" s="111" t="s">
        <v>833</v>
      </c>
      <c r="D110" s="1466">
        <f>(D108-D109)/D109*100</f>
        <v>-5.8273053402020006E-2</v>
      </c>
      <c r="E110" s="99" t="s">
        <v>699</v>
      </c>
      <c r="F110" s="99"/>
      <c r="G110" s="490"/>
      <c r="I110"/>
    </row>
    <row r="111" spans="1:10" s="3" customFormat="1" ht="13.8" customHeight="1">
      <c r="A111" s="394"/>
      <c r="B111" s="99"/>
      <c r="C111" s="99"/>
      <c r="D111" s="99"/>
      <c r="E111" s="99"/>
      <c r="F111" s="99"/>
      <c r="G111" s="490"/>
      <c r="I111"/>
      <c r="J111"/>
    </row>
    <row r="112" spans="1:10" s="3" customFormat="1" ht="15.6">
      <c r="A112" s="394"/>
      <c r="B112" s="99"/>
      <c r="C112" s="494" t="s">
        <v>844</v>
      </c>
      <c r="D112" s="99"/>
      <c r="E112" s="99"/>
      <c r="F112" s="99"/>
      <c r="G112" s="490"/>
      <c r="I112"/>
      <c r="J112"/>
    </row>
    <row r="113" spans="1:11" s="3" customFormat="1">
      <c r="A113" s="394"/>
      <c r="B113" s="99"/>
      <c r="C113" s="105" t="s">
        <v>848</v>
      </c>
      <c r="D113" s="99"/>
      <c r="E113" s="99"/>
      <c r="F113" s="99"/>
      <c r="G113" s="490"/>
      <c r="I113"/>
      <c r="J113"/>
    </row>
    <row r="114" spans="1:11" s="3" customFormat="1">
      <c r="A114" s="394"/>
      <c r="B114" s="99"/>
      <c r="C114" s="99"/>
      <c r="D114" s="99"/>
      <c r="E114" s="99"/>
      <c r="F114" s="99"/>
      <c r="G114" s="490"/>
      <c r="I114"/>
      <c r="J114"/>
    </row>
    <row r="115" spans="1:11" s="3" customFormat="1" ht="15.6">
      <c r="A115" s="394"/>
      <c r="B115" s="100" t="s">
        <v>834</v>
      </c>
      <c r="C115" s="832" t="s">
        <v>159</v>
      </c>
      <c r="D115" s="51"/>
      <c r="E115" s="832"/>
      <c r="F115" s="99"/>
      <c r="G115" s="490"/>
      <c r="I115"/>
      <c r="J115"/>
    </row>
    <row r="116" spans="1:11" s="3" customFormat="1" ht="13.8" customHeight="1">
      <c r="A116" s="394"/>
      <c r="B116" s="100" t="s">
        <v>835</v>
      </c>
      <c r="C116" s="99"/>
      <c r="D116" s="13"/>
      <c r="E116" s="99"/>
      <c r="F116" s="99"/>
      <c r="G116" s="490"/>
      <c r="I116"/>
      <c r="J116"/>
    </row>
    <row r="117" spans="1:11" s="3" customFormat="1">
      <c r="A117" s="394"/>
      <c r="B117" s="100"/>
      <c r="C117" s="99"/>
      <c r="D117" s="311"/>
      <c r="E117" s="99"/>
      <c r="F117" s="99"/>
      <c r="G117" s="490"/>
      <c r="I117"/>
      <c r="J117"/>
    </row>
    <row r="118" spans="1:11" s="3" customFormat="1" ht="14.4" customHeight="1">
      <c r="A118" s="394"/>
      <c r="B118" s="349" t="s">
        <v>2928</v>
      </c>
      <c r="C118" s="832" t="s">
        <v>159</v>
      </c>
      <c r="D118" s="312"/>
      <c r="E118" s="99"/>
      <c r="F118" s="99"/>
      <c r="G118" s="490"/>
      <c r="I118"/>
      <c r="J118"/>
    </row>
    <row r="119" spans="1:11" s="3" customFormat="1">
      <c r="A119" s="394"/>
      <c r="B119" s="551" t="s">
        <v>2929</v>
      </c>
      <c r="C119" s="99"/>
      <c r="D119" s="313"/>
      <c r="E119" s="99"/>
      <c r="F119" s="99"/>
      <c r="G119" s="490"/>
      <c r="I119"/>
      <c r="J119"/>
    </row>
    <row r="120" spans="1:11" s="3" customFormat="1" ht="9.6" customHeight="1">
      <c r="A120" s="496"/>
      <c r="B120" s="497"/>
      <c r="C120" s="502"/>
      <c r="D120" s="502"/>
      <c r="E120" s="502"/>
      <c r="F120" s="502"/>
      <c r="G120" s="499"/>
      <c r="I120"/>
      <c r="J120"/>
    </row>
    <row r="121" spans="1:11" s="3" customFormat="1" ht="15.6">
      <c r="A121" s="500"/>
      <c r="B121" s="391"/>
      <c r="C121" s="391"/>
      <c r="D121" s="391"/>
      <c r="E121" s="391"/>
      <c r="F121" s="391"/>
      <c r="G121" s="487" t="s">
        <v>280</v>
      </c>
      <c r="I121"/>
      <c r="J121"/>
    </row>
    <row r="122" spans="1:11" s="3" customFormat="1">
      <c r="A122" s="394"/>
      <c r="B122" s="99"/>
      <c r="C122" s="349" t="s">
        <v>2584</v>
      </c>
      <c r="D122" s="99"/>
      <c r="E122" s="99"/>
      <c r="F122" s="99"/>
      <c r="G122" s="490"/>
      <c r="I122"/>
      <c r="J122"/>
    </row>
    <row r="123" spans="1:11" s="626" customFormat="1">
      <c r="A123" s="394"/>
      <c r="B123" s="100"/>
      <c r="C123" s="2160" t="s">
        <v>2518</v>
      </c>
      <c r="D123" s="99"/>
      <c r="E123" s="99"/>
      <c r="F123" s="99"/>
      <c r="G123" s="490"/>
      <c r="I123" s="4"/>
    </row>
    <row r="124" spans="1:11" s="626" customFormat="1">
      <c r="A124" s="394"/>
      <c r="B124" s="99"/>
      <c r="C124" s="99"/>
      <c r="D124" s="99"/>
      <c r="E124" s="99"/>
      <c r="F124" s="99"/>
      <c r="G124" s="490"/>
      <c r="I124"/>
    </row>
    <row r="125" spans="1:11" s="3" customFormat="1" ht="16.5" customHeight="1">
      <c r="A125" s="394"/>
      <c r="B125" s="100"/>
      <c r="C125" s="99"/>
      <c r="D125" s="2161" t="s">
        <v>3</v>
      </c>
      <c r="E125" s="99"/>
      <c r="F125" s="99"/>
      <c r="G125" s="490"/>
      <c r="I125"/>
    </row>
    <row r="126" spans="1:11" s="3" customFormat="1" ht="16.5" customHeight="1">
      <c r="A126" s="394"/>
      <c r="B126" s="111" t="s">
        <v>829</v>
      </c>
      <c r="C126" s="108"/>
      <c r="D126" s="843" t="s">
        <v>2723</v>
      </c>
      <c r="E126" s="108"/>
      <c r="F126" s="2164" t="s">
        <v>2516</v>
      </c>
      <c r="G126" s="490"/>
      <c r="I126"/>
      <c r="J126"/>
    </row>
    <row r="127" spans="1:11" s="3" customFormat="1" ht="16.5" customHeight="1">
      <c r="A127" s="394"/>
      <c r="B127" s="860" t="s">
        <v>830</v>
      </c>
      <c r="C127" s="506" t="s">
        <v>674</v>
      </c>
      <c r="D127" s="2208">
        <v>1.9890999999999999E+30</v>
      </c>
      <c r="E127" s="108" t="s">
        <v>680</v>
      </c>
      <c r="F127" s="2165" t="s">
        <v>2517</v>
      </c>
      <c r="G127" s="490"/>
      <c r="I127"/>
      <c r="J127"/>
    </row>
    <row r="128" spans="1:11" s="3" customFormat="1" ht="16.5" customHeight="1">
      <c r="A128" s="394"/>
      <c r="B128" s="860" t="s">
        <v>836</v>
      </c>
      <c r="C128" s="506" t="s">
        <v>828</v>
      </c>
      <c r="D128" s="855">
        <v>365.25</v>
      </c>
      <c r="E128" s="108" t="s">
        <v>2231</v>
      </c>
      <c r="F128" s="2165" t="s">
        <v>2519</v>
      </c>
      <c r="G128" s="490"/>
      <c r="I128"/>
      <c r="K128"/>
    </row>
    <row r="129" spans="1:10" s="3" customFormat="1">
      <c r="A129" s="394"/>
      <c r="B129" s="860" t="s">
        <v>839</v>
      </c>
      <c r="C129" s="506" t="s">
        <v>676</v>
      </c>
      <c r="D129" s="844">
        <v>149610000000</v>
      </c>
      <c r="E129" s="108" t="s">
        <v>681</v>
      </c>
      <c r="F129" s="2166" t="s">
        <v>2515</v>
      </c>
      <c r="G129" s="490"/>
      <c r="I129"/>
      <c r="J129"/>
    </row>
    <row r="130" spans="1:10" s="3" customFormat="1" ht="12" customHeight="1">
      <c r="A130" s="394"/>
      <c r="B130" s="826"/>
      <c r="C130" s="184"/>
      <c r="D130" s="99"/>
      <c r="E130" s="99"/>
      <c r="F130" s="99"/>
      <c r="G130" s="490"/>
      <c r="I130"/>
      <c r="J130"/>
    </row>
    <row r="131" spans="1:10" s="3" customFormat="1" ht="15" customHeight="1">
      <c r="A131" s="394"/>
      <c r="B131" s="826"/>
      <c r="C131" s="184"/>
      <c r="D131" s="99"/>
      <c r="E131" s="99"/>
      <c r="F131" s="99"/>
      <c r="G131" s="490"/>
      <c r="I131" s="1202"/>
    </row>
    <row r="132" spans="1:10" s="78" customFormat="1" ht="15" customHeight="1">
      <c r="A132" s="505"/>
      <c r="B132" s="2162"/>
      <c r="C132" s="1222"/>
      <c r="D132" s="2161" t="s">
        <v>4</v>
      </c>
      <c r="E132" s="507"/>
      <c r="F132" s="2163"/>
      <c r="G132" s="787"/>
      <c r="I132" s="995"/>
    </row>
    <row r="133" spans="1:10" s="3" customFormat="1">
      <c r="A133" s="394"/>
      <c r="B133" s="111" t="s">
        <v>2508</v>
      </c>
      <c r="C133" s="833" t="s">
        <v>66</v>
      </c>
      <c r="D133" s="2114">
        <f>POWER(D109*D127*POWER((D128*60*60*24),2)/(4*POWER(3.14159,2)),1/3)</f>
        <v>149613226980.55426</v>
      </c>
      <c r="E133" s="99" t="s">
        <v>681</v>
      </c>
      <c r="F133" s="312"/>
      <c r="G133" s="490"/>
      <c r="I133" s="1203"/>
    </row>
    <row r="134" spans="1:10" s="3" customFormat="1">
      <c r="A134" s="394"/>
      <c r="B134" s="826"/>
      <c r="C134" s="833"/>
      <c r="D134" s="1991"/>
      <c r="E134" s="99"/>
      <c r="F134" s="313"/>
      <c r="G134" s="490"/>
      <c r="I134" s="4"/>
      <c r="J134" s="1993"/>
    </row>
    <row r="135" spans="1:10" s="3" customFormat="1">
      <c r="A135" s="394"/>
      <c r="B135" s="826"/>
      <c r="C135" s="184"/>
      <c r="D135" s="99"/>
      <c r="E135" s="99"/>
      <c r="F135" s="99"/>
      <c r="G135" s="490"/>
      <c r="I135" s="4"/>
      <c r="J135" s="25"/>
    </row>
    <row r="136" spans="1:10" s="626" customFormat="1">
      <c r="A136" s="394"/>
      <c r="B136" s="826"/>
      <c r="C136" s="184"/>
      <c r="D136" s="99"/>
      <c r="E136" s="99"/>
      <c r="F136" s="311"/>
      <c r="G136" s="490"/>
      <c r="I136"/>
      <c r="J136" s="818"/>
    </row>
    <row r="137" spans="1:10" s="3" customFormat="1">
      <c r="A137" s="394"/>
      <c r="B137" s="111" t="s">
        <v>827</v>
      </c>
      <c r="C137" s="111" t="s">
        <v>828</v>
      </c>
      <c r="D137" s="2167">
        <f>(SQRT((4*POWER(3.14159,2)*POWER(D129,3))/(D109*D127)))/(60*60*24)</f>
        <v>365.2381830472238</v>
      </c>
      <c r="E137" s="99" t="s">
        <v>2231</v>
      </c>
      <c r="F137" s="312"/>
      <c r="G137" s="490"/>
      <c r="I137" s="4"/>
      <c r="J137" s="25"/>
    </row>
    <row r="138" spans="1:10" s="3" customFormat="1">
      <c r="A138" s="394"/>
      <c r="B138" s="826"/>
      <c r="C138" s="833"/>
      <c r="D138" s="1991"/>
      <c r="E138" s="99"/>
      <c r="F138" s="313"/>
      <c r="G138" s="490"/>
      <c r="I138" s="4"/>
    </row>
    <row r="139" spans="1:10" s="3" customFormat="1">
      <c r="A139" s="394"/>
      <c r="B139" s="826"/>
      <c r="C139" s="184"/>
      <c r="D139" s="99"/>
      <c r="E139" s="99"/>
      <c r="F139" s="99"/>
      <c r="G139" s="490"/>
      <c r="I139" s="4"/>
    </row>
    <row r="140" spans="1:10" s="3" customFormat="1">
      <c r="A140" s="394"/>
      <c r="B140" s="824"/>
      <c r="C140" s="136"/>
      <c r="D140" s="105"/>
      <c r="E140" s="824"/>
      <c r="F140" s="791"/>
      <c r="G140" s="490"/>
      <c r="I140" s="4"/>
    </row>
    <row r="141" spans="1:10" s="788" customFormat="1">
      <c r="A141" s="525"/>
      <c r="B141" s="141" t="s">
        <v>830</v>
      </c>
      <c r="C141" s="141" t="s">
        <v>674</v>
      </c>
      <c r="D141" s="1464">
        <f>4*(POWER(3.14159,2)*POWER(D129,3)/(D109*(POWER((D128*60*60*24),2))))</f>
        <v>1.9889712951647568E+30</v>
      </c>
      <c r="E141" s="824" t="s">
        <v>680</v>
      </c>
      <c r="F141" s="98"/>
      <c r="G141" s="777"/>
      <c r="I141" s="1204"/>
    </row>
    <row r="142" spans="1:10" s="788" customFormat="1">
      <c r="A142" s="525"/>
      <c r="B142" s="142"/>
      <c r="C142" s="833"/>
      <c r="D142" s="1992"/>
      <c r="E142" s="824"/>
      <c r="F142" s="792"/>
      <c r="G142" s="777"/>
      <c r="I142" s="18"/>
    </row>
    <row r="143" spans="1:10" s="788" customFormat="1">
      <c r="A143" s="525"/>
      <c r="B143" s="835" t="s">
        <v>2234</v>
      </c>
      <c r="C143" s="136"/>
      <c r="D143" s="824"/>
      <c r="E143" s="824"/>
      <c r="F143" s="824"/>
      <c r="G143" s="777"/>
      <c r="I143" s="18"/>
    </row>
    <row r="144" spans="1:10" s="788" customFormat="1">
      <c r="A144" s="525"/>
      <c r="C144" s="824"/>
      <c r="D144" s="824"/>
      <c r="E144" s="824"/>
      <c r="F144" s="791"/>
      <c r="G144" s="777"/>
      <c r="I144" s="816"/>
    </row>
    <row r="145" spans="1:10" s="788" customFormat="1" ht="16.2">
      <c r="A145" s="525"/>
      <c r="B145" s="141" t="s">
        <v>2509</v>
      </c>
      <c r="C145" s="141" t="s">
        <v>857</v>
      </c>
      <c r="D145" s="2115">
        <f>2*3.14159*D129/(D128*60*60*24)/1000</f>
        <v>29.787644174461938</v>
      </c>
      <c r="E145" s="854" t="s">
        <v>684</v>
      </c>
      <c r="F145" s="813"/>
      <c r="G145" s="777"/>
      <c r="I145" s="816"/>
    </row>
    <row r="146" spans="1:10" s="788" customFormat="1" ht="15" customHeight="1">
      <c r="A146" s="525"/>
      <c r="B146" s="142"/>
      <c r="C146" s="136"/>
      <c r="D146" s="824"/>
      <c r="E146" s="824"/>
      <c r="F146" s="792"/>
      <c r="G146" s="777"/>
      <c r="I146" s="816"/>
      <c r="J146"/>
    </row>
    <row r="147" spans="1:10" s="788" customFormat="1" ht="13.8" customHeight="1">
      <c r="A147" s="525"/>
      <c r="B147" s="142"/>
      <c r="C147" s="136"/>
      <c r="D147" s="824"/>
      <c r="E147" s="824"/>
      <c r="F147" s="824"/>
      <c r="G147" s="777"/>
      <c r="I147" s="816"/>
      <c r="J147"/>
    </row>
    <row r="148" spans="1:10" s="788" customFormat="1" ht="15" customHeight="1">
      <c r="A148" s="525"/>
      <c r="C148" s="551" t="s">
        <v>2260</v>
      </c>
      <c r="D148" s="824"/>
      <c r="E148" s="824"/>
      <c r="F148" s="824"/>
      <c r="G148" s="777"/>
      <c r="I148" s="816"/>
      <c r="J148"/>
    </row>
    <row r="149" spans="1:10" s="788" customFormat="1" ht="15" customHeight="1">
      <c r="A149" s="525"/>
      <c r="B149" s="396"/>
      <c r="C149" s="551" t="s">
        <v>2523</v>
      </c>
      <c r="D149" s="824"/>
      <c r="E149" s="824"/>
      <c r="F149" s="824"/>
      <c r="G149" s="777"/>
      <c r="I149" s="816"/>
      <c r="J149"/>
    </row>
    <row r="150" spans="1:10" s="788" customFormat="1" ht="15" customHeight="1">
      <c r="A150" s="525"/>
      <c r="B150" s="396"/>
      <c r="C150" s="551"/>
      <c r="D150" s="824"/>
      <c r="E150" s="824"/>
      <c r="F150" s="824"/>
      <c r="G150" s="777"/>
      <c r="I150" s="816"/>
      <c r="J150"/>
    </row>
    <row r="151" spans="1:10" s="788" customFormat="1" ht="13.8" customHeight="1">
      <c r="A151" s="525"/>
      <c r="B151" s="396"/>
      <c r="C151" s="136"/>
      <c r="D151" s="824"/>
      <c r="E151" s="824"/>
      <c r="F151" s="824"/>
      <c r="G151" s="777"/>
      <c r="I151" s="816"/>
      <c r="J151"/>
    </row>
    <row r="152" spans="1:10" s="788" customFormat="1" ht="15" customHeight="1">
      <c r="A152" s="525"/>
      <c r="B152" s="143" t="s">
        <v>2230</v>
      </c>
      <c r="C152" s="136" t="s">
        <v>2246</v>
      </c>
      <c r="D152" s="824"/>
      <c r="E152" s="824"/>
      <c r="F152" s="824"/>
      <c r="G152" s="777"/>
      <c r="I152" s="816"/>
      <c r="J152"/>
    </row>
    <row r="153" spans="1:10" s="788" customFormat="1" ht="13.8" customHeight="1">
      <c r="A153" s="525"/>
      <c r="B153" s="142" t="s">
        <v>2259</v>
      </c>
      <c r="C153" s="136"/>
      <c r="D153" s="824"/>
      <c r="E153" s="824"/>
      <c r="F153" s="824"/>
      <c r="G153" s="777"/>
      <c r="I153" s="816"/>
      <c r="J153"/>
    </row>
    <row r="154" spans="1:10" s="788" customFormat="1" ht="13.8" customHeight="1">
      <c r="A154" s="525"/>
      <c r="B154" s="136" t="s">
        <v>2247</v>
      </c>
      <c r="C154" s="136"/>
      <c r="D154" s="824"/>
      <c r="E154" s="824"/>
      <c r="F154" s="824"/>
      <c r="G154" s="777"/>
      <c r="I154" s="816"/>
      <c r="J154"/>
    </row>
    <row r="155" spans="1:10" s="788" customFormat="1" ht="13.8" customHeight="1">
      <c r="A155" s="525"/>
      <c r="B155" s="788" t="s">
        <v>2262</v>
      </c>
      <c r="C155" s="136"/>
      <c r="D155" s="824"/>
      <c r="E155" s="824"/>
      <c r="F155" s="824"/>
      <c r="G155" s="777"/>
      <c r="I155" s="816"/>
      <c r="J155"/>
    </row>
    <row r="156" spans="1:10" s="788" customFormat="1" ht="13.8" customHeight="1">
      <c r="A156" s="525"/>
      <c r="B156" s="136" t="s">
        <v>2261</v>
      </c>
      <c r="C156" s="136"/>
      <c r="D156" s="824"/>
      <c r="E156" s="824"/>
      <c r="F156" s="824"/>
      <c r="G156" s="777"/>
      <c r="I156" s="816"/>
      <c r="J156"/>
    </row>
    <row r="157" spans="1:10" s="788" customFormat="1" ht="13.8" customHeight="1">
      <c r="A157" s="525"/>
      <c r="B157" s="136"/>
      <c r="C157" s="136"/>
      <c r="D157" s="824"/>
      <c r="E157" s="824"/>
      <c r="F157" s="824"/>
      <c r="G157" s="777"/>
      <c r="I157" s="816"/>
      <c r="J157"/>
    </row>
    <row r="158" spans="1:10" s="788" customFormat="1" ht="16.8" customHeight="1">
      <c r="A158" s="828"/>
      <c r="B158" s="1998" t="s">
        <v>2248</v>
      </c>
      <c r="C158" s="829"/>
      <c r="D158" s="829"/>
      <c r="E158" s="829"/>
      <c r="F158" s="829"/>
      <c r="G158" s="838"/>
      <c r="I158" s="816"/>
      <c r="J158"/>
    </row>
    <row r="159" spans="1:10" s="1782" customFormat="1" ht="16.8" customHeight="1">
      <c r="A159" s="1807"/>
      <c r="B159" s="1808"/>
      <c r="C159" s="1809"/>
      <c r="D159" s="1818"/>
      <c r="E159" s="1818"/>
      <c r="F159" s="1818"/>
      <c r="G159" s="1788" t="s">
        <v>281</v>
      </c>
      <c r="H159" s="1781"/>
      <c r="I159" s="1783"/>
      <c r="J159" s="53"/>
    </row>
    <row r="160" spans="1:10" s="1782" customFormat="1" ht="16.8" customHeight="1">
      <c r="A160" s="1810"/>
      <c r="B160" s="1811"/>
      <c r="C160" s="1211" t="s">
        <v>2524</v>
      </c>
      <c r="D160" s="1819"/>
      <c r="E160" s="410"/>
      <c r="F160" s="410"/>
      <c r="G160" s="1820"/>
      <c r="H160" s="1781"/>
      <c r="I160" s="1781"/>
    </row>
    <row r="161" spans="1:10" s="1782" customFormat="1" ht="16.8" customHeight="1">
      <c r="A161" s="1810"/>
      <c r="B161" s="1811" t="s">
        <v>122</v>
      </c>
      <c r="C161" s="1775"/>
      <c r="D161" s="1819"/>
      <c r="E161" s="410"/>
      <c r="F161" s="410"/>
      <c r="G161" s="1820"/>
      <c r="H161" s="1781"/>
      <c r="I161" s="1781"/>
    </row>
    <row r="162" spans="1:10" s="1782" customFormat="1" ht="15" customHeight="1">
      <c r="A162" s="1810"/>
      <c r="B162" s="1812" t="s">
        <v>2092</v>
      </c>
      <c r="C162" s="660"/>
      <c r="D162" s="1819"/>
      <c r="E162" s="410"/>
      <c r="F162" s="410"/>
      <c r="G162" s="1820"/>
      <c r="H162" s="1781"/>
      <c r="I162" s="1781"/>
    </row>
    <row r="163" spans="1:10" s="1782" customFormat="1" ht="15" customHeight="1">
      <c r="A163" s="1810"/>
      <c r="B163" s="1812" t="s">
        <v>2658</v>
      </c>
      <c r="C163" s="660"/>
      <c r="D163" s="1819"/>
      <c r="E163" s="410"/>
      <c r="F163" s="410"/>
      <c r="G163" s="1820"/>
      <c r="H163" s="1781"/>
      <c r="I163" s="1781"/>
    </row>
    <row r="164" spans="1:10" s="1782" customFormat="1" ht="15" customHeight="1">
      <c r="A164" s="1810"/>
      <c r="B164" s="1813" t="s">
        <v>2661</v>
      </c>
      <c r="C164" s="1814"/>
      <c r="D164" s="1821"/>
      <c r="E164" s="1812"/>
      <c r="F164" s="1812"/>
      <c r="G164" s="1820"/>
      <c r="H164" s="1781"/>
      <c r="I164" s="1781"/>
    </row>
    <row r="165" spans="1:10" s="1782" customFormat="1" ht="15" customHeight="1">
      <c r="A165" s="1810"/>
      <c r="B165" s="1812" t="s">
        <v>2659</v>
      </c>
      <c r="C165" s="1814"/>
      <c r="D165" s="1821"/>
      <c r="E165" s="1812"/>
      <c r="F165" s="1812"/>
      <c r="G165" s="1820"/>
      <c r="H165" s="1781"/>
      <c r="I165" s="1781"/>
    </row>
    <row r="166" spans="1:10" s="70" customFormat="1" ht="15" customHeight="1">
      <c r="A166" s="1815"/>
      <c r="B166" s="1812" t="s">
        <v>2660</v>
      </c>
      <c r="C166" s="1812"/>
      <c r="D166" s="1812"/>
      <c r="E166" s="1812"/>
      <c r="F166" s="1812"/>
      <c r="G166" s="1822"/>
      <c r="I166" s="53"/>
    </row>
    <row r="167" spans="1:10" s="70" customFormat="1" ht="16.8" customHeight="1">
      <c r="A167" s="1815"/>
      <c r="B167" s="1812"/>
      <c r="C167" s="658" t="s">
        <v>2666</v>
      </c>
      <c r="D167" s="1812"/>
      <c r="E167" s="1812"/>
      <c r="F167" s="1812"/>
      <c r="G167" s="1822"/>
      <c r="I167" s="53"/>
    </row>
    <row r="168" spans="1:10" s="70" customFormat="1" ht="16.8" customHeight="1">
      <c r="A168" s="1815"/>
      <c r="B168" s="1812"/>
      <c r="C168" s="2395" t="s">
        <v>2438</v>
      </c>
      <c r="D168" s="1812"/>
      <c r="E168" s="1812"/>
      <c r="F168" s="1812"/>
      <c r="G168" s="1822"/>
      <c r="I168" s="53"/>
    </row>
    <row r="169" spans="1:10" s="70" customFormat="1" ht="15" customHeight="1">
      <c r="A169" s="1815"/>
      <c r="B169" s="406"/>
      <c r="C169" s="224"/>
      <c r="D169" s="402"/>
      <c r="E169" s="406"/>
      <c r="F169" s="406"/>
      <c r="G169" s="1822"/>
      <c r="I169" s="1806"/>
      <c r="J169" s="53"/>
    </row>
    <row r="170" spans="1:10" s="3" customFormat="1" ht="16.8" customHeight="1">
      <c r="A170" s="1816"/>
      <c r="B170" s="225"/>
      <c r="C170" s="225"/>
      <c r="D170" s="209" t="s">
        <v>329</v>
      </c>
      <c r="E170" s="225"/>
      <c r="F170" s="225"/>
      <c r="G170" s="1547"/>
      <c r="H170" s="626"/>
      <c r="J170"/>
    </row>
    <row r="171" spans="1:10" s="70" customFormat="1" ht="16.8" customHeight="1">
      <c r="A171" s="1815"/>
      <c r="B171" s="660" t="s">
        <v>181</v>
      </c>
      <c r="C171" s="224" t="s">
        <v>673</v>
      </c>
      <c r="D171" s="1777">
        <v>6.6742799999999995E-11</v>
      </c>
      <c r="E171" s="468" t="s">
        <v>803</v>
      </c>
      <c r="F171" s="1001"/>
      <c r="G171" s="409"/>
      <c r="H171" s="634"/>
      <c r="J171" s="53"/>
    </row>
    <row r="172" spans="1:10" s="70" customFormat="1" ht="16.8" customHeight="1">
      <c r="A172" s="1815"/>
      <c r="B172" s="660"/>
      <c r="C172" s="224"/>
      <c r="D172" s="1990"/>
      <c r="E172" s="406"/>
      <c r="F172" s="406"/>
      <c r="G172" s="1822"/>
      <c r="H172" s="634"/>
      <c r="I172" s="1786"/>
      <c r="J172" s="634"/>
    </row>
    <row r="173" spans="1:10" s="70" customFormat="1" ht="16.8" customHeight="1">
      <c r="A173" s="1815"/>
      <c r="B173" s="224"/>
      <c r="C173" s="224"/>
      <c r="D173" s="467" t="s">
        <v>3</v>
      </c>
      <c r="E173" s="406"/>
      <c r="F173" s="406"/>
      <c r="G173" s="1822"/>
      <c r="I173"/>
      <c r="J173" s="1787"/>
    </row>
    <row r="174" spans="1:10" s="70" customFormat="1" ht="16.8" customHeight="1">
      <c r="A174" s="1815"/>
      <c r="B174" s="224" t="s">
        <v>2436</v>
      </c>
      <c r="C174" s="406"/>
      <c r="D174" s="843" t="s">
        <v>916</v>
      </c>
      <c r="E174" s="406"/>
      <c r="F174" s="406"/>
      <c r="G174" s="1822"/>
      <c r="I174" s="1786"/>
      <c r="J174" s="634"/>
    </row>
    <row r="175" spans="1:10" s="70" customFormat="1" ht="16.8" customHeight="1">
      <c r="A175" s="1815"/>
      <c r="B175" s="224" t="s">
        <v>2084</v>
      </c>
      <c r="C175" s="224" t="s">
        <v>676</v>
      </c>
      <c r="D175" s="843">
        <v>6373</v>
      </c>
      <c r="E175" s="406" t="s">
        <v>1018</v>
      </c>
      <c r="F175" s="1792"/>
      <c r="G175" s="1789"/>
    </row>
    <row r="176" spans="1:10" s="70" customFormat="1" ht="16.8" customHeight="1">
      <c r="A176" s="1815"/>
      <c r="B176" s="224" t="s">
        <v>2085</v>
      </c>
      <c r="C176" s="224" t="s">
        <v>2079</v>
      </c>
      <c r="D176" s="1793">
        <f>(4/3)*PI()*POWER((D175*1000),3)</f>
        <v>1.0842273660644722E+21</v>
      </c>
      <c r="E176" s="406" t="s">
        <v>2078</v>
      </c>
      <c r="F176" s="1794"/>
      <c r="G176" s="1789"/>
      <c r="I176" s="1778"/>
      <c r="J176" s="1785"/>
    </row>
    <row r="177" spans="1:10" s="70" customFormat="1" ht="16.8" customHeight="1">
      <c r="A177" s="1815"/>
      <c r="B177" s="224" t="s">
        <v>2086</v>
      </c>
      <c r="C177" s="224" t="s">
        <v>2080</v>
      </c>
      <c r="D177" s="843">
        <v>5508</v>
      </c>
      <c r="E177" s="406" t="s">
        <v>2077</v>
      </c>
      <c r="F177" s="1790"/>
      <c r="G177" s="1789"/>
    </row>
    <row r="178" spans="1:10" s="70" customFormat="1" ht="16.8" customHeight="1">
      <c r="A178" s="1815"/>
      <c r="B178" s="224" t="s">
        <v>2087</v>
      </c>
      <c r="C178" s="224" t="s">
        <v>674</v>
      </c>
      <c r="D178" s="1795">
        <f>D176*D177</f>
        <v>5.9719243322831128E+24</v>
      </c>
      <c r="E178" s="406" t="s">
        <v>680</v>
      </c>
      <c r="F178" s="1796"/>
      <c r="G178" s="1789"/>
      <c r="J178" s="1780"/>
    </row>
    <row r="179" spans="1:10" s="70" customFormat="1" ht="16.8" customHeight="1">
      <c r="A179" s="1815"/>
      <c r="B179" s="1994" t="s">
        <v>2235</v>
      </c>
      <c r="C179" s="406"/>
      <c r="D179" s="406"/>
      <c r="E179" s="406"/>
      <c r="F179" s="406"/>
      <c r="G179" s="1822"/>
      <c r="I179"/>
    </row>
    <row r="180" spans="1:10" s="70" customFormat="1" ht="16.8" customHeight="1">
      <c r="A180" s="1815"/>
      <c r="B180" s="1817" t="s">
        <v>2075</v>
      </c>
      <c r="C180" s="1812" t="s">
        <v>2093</v>
      </c>
      <c r="D180" s="406"/>
      <c r="E180" s="1812"/>
      <c r="F180" s="1812"/>
      <c r="G180" s="1822"/>
      <c r="I180" s="1784"/>
    </row>
    <row r="181" spans="1:10" s="70" customFormat="1" ht="16.8" customHeight="1">
      <c r="A181" s="1815"/>
      <c r="B181" s="1817" t="s">
        <v>2076</v>
      </c>
      <c r="C181" s="1812" t="s">
        <v>2871</v>
      </c>
      <c r="D181" s="1812"/>
      <c r="E181" s="1812"/>
      <c r="F181" s="1812"/>
      <c r="G181" s="1822"/>
      <c r="I181" s="1784"/>
      <c r="J181"/>
    </row>
    <row r="182" spans="1:10" s="70" customFormat="1" ht="16.8" customHeight="1">
      <c r="A182" s="1815"/>
      <c r="B182" s="1791"/>
      <c r="C182" s="406"/>
      <c r="D182" s="406"/>
      <c r="E182" s="406"/>
      <c r="F182" s="406"/>
      <c r="G182" s="1822"/>
      <c r="J182" s="53"/>
    </row>
    <row r="183" spans="1:10" s="70" customFormat="1" ht="16.8" customHeight="1">
      <c r="A183" s="1815"/>
      <c r="B183" s="406"/>
      <c r="C183" s="406"/>
      <c r="D183" s="467" t="s">
        <v>4</v>
      </c>
      <c r="E183" s="406"/>
      <c r="F183" s="1797"/>
      <c r="G183" s="1789"/>
    </row>
    <row r="184" spans="1:10" s="70" customFormat="1" ht="16.8" customHeight="1">
      <c r="A184" s="1815"/>
      <c r="B184" s="224" t="s">
        <v>2091</v>
      </c>
      <c r="C184" s="224" t="s">
        <v>2071</v>
      </c>
      <c r="D184" s="1798">
        <f>D171*D178/(POWER((D175*1000),2))</f>
        <v>9.8136571553104091</v>
      </c>
      <c r="E184" s="468" t="s">
        <v>2072</v>
      </c>
      <c r="F184" s="1799"/>
      <c r="G184" s="1789"/>
    </row>
    <row r="185" spans="1:10" s="70" customFormat="1" ht="16.8" customHeight="1">
      <c r="A185" s="1815"/>
      <c r="B185" s="406"/>
      <c r="C185" s="406"/>
      <c r="D185" s="406"/>
      <c r="E185" s="406"/>
      <c r="F185" s="406"/>
      <c r="G185" s="1822"/>
    </row>
    <row r="186" spans="1:10" s="70" customFormat="1" ht="16.8" customHeight="1">
      <c r="A186" s="1815"/>
      <c r="B186" s="660" t="s">
        <v>2082</v>
      </c>
      <c r="C186" s="224" t="s">
        <v>2073</v>
      </c>
      <c r="D186" s="1800">
        <f>SQRT((D184/(D175*1000)))</f>
        <v>1.2409191353731047E-3</v>
      </c>
      <c r="E186" s="406" t="s">
        <v>2074</v>
      </c>
      <c r="F186" s="1797"/>
      <c r="G186" s="1789"/>
    </row>
    <row r="187" spans="1:10" s="70" customFormat="1" ht="16.8" customHeight="1">
      <c r="A187" s="1815"/>
      <c r="B187" s="224" t="s">
        <v>2083</v>
      </c>
      <c r="C187" s="224" t="s">
        <v>828</v>
      </c>
      <c r="D187" s="1801">
        <f>2*PI()*SQRT((D175*1000)/D184)</f>
        <v>5063.3317901818255</v>
      </c>
      <c r="E187" s="406" t="s">
        <v>1112</v>
      </c>
      <c r="F187" s="1802"/>
      <c r="G187" s="1789"/>
      <c r="J187"/>
    </row>
    <row r="188" spans="1:10" s="70" customFormat="1" ht="16.8" customHeight="1">
      <c r="A188" s="1815"/>
      <c r="B188" s="406"/>
      <c r="C188" s="406"/>
      <c r="D188" s="1803">
        <f>D187/86400</f>
        <v>5.8603377201178537E-2</v>
      </c>
      <c r="E188" s="406" t="s">
        <v>2081</v>
      </c>
      <c r="F188" s="1799"/>
      <c r="G188" s="1789"/>
    </row>
    <row r="189" spans="1:10" s="70" customFormat="1" ht="16.2" customHeight="1">
      <c r="A189" s="1815"/>
      <c r="B189" s="406"/>
      <c r="C189" s="406"/>
      <c r="D189" s="1791"/>
      <c r="E189" s="406"/>
      <c r="F189" s="1791"/>
      <c r="G189" s="1789"/>
    </row>
    <row r="190" spans="1:10" s="70" customFormat="1" ht="16.8" customHeight="1">
      <c r="A190" s="1815"/>
      <c r="B190" s="224" t="s">
        <v>2089</v>
      </c>
      <c r="C190" s="224" t="s">
        <v>2088</v>
      </c>
      <c r="D190" s="1804">
        <f>2*PI()*D175*1000/D187</f>
        <v>7908.3776497327981</v>
      </c>
      <c r="E190" s="468" t="s">
        <v>2090</v>
      </c>
      <c r="F190" s="1797"/>
      <c r="G190" s="1789"/>
      <c r="J190"/>
    </row>
    <row r="191" spans="1:10" s="70" customFormat="1" ht="17.399999999999999" customHeight="1">
      <c r="A191" s="1815"/>
      <c r="B191" s="1824" t="s">
        <v>2098</v>
      </c>
      <c r="C191" s="406"/>
      <c r="D191" s="406"/>
      <c r="E191" s="406"/>
      <c r="F191" s="1799"/>
      <c r="G191" s="1789"/>
    </row>
    <row r="192" spans="1:10" s="70" customFormat="1" ht="17.399999999999999" customHeight="1">
      <c r="A192" s="1825"/>
      <c r="B192" s="1995" t="s">
        <v>2236</v>
      </c>
      <c r="C192" s="1823"/>
      <c r="D192" s="1823"/>
      <c r="E192" s="1823"/>
      <c r="F192" s="1823"/>
      <c r="G192" s="1805"/>
    </row>
    <row r="193" s="3" customFormat="1" ht="16.8" customHeight="1"/>
    <row r="194" s="3" customFormat="1" ht="16.8" customHeight="1"/>
    <row r="195" s="3" customFormat="1" ht="16.8" customHeight="1"/>
    <row r="196" s="3" customFormat="1" ht="16.8" customHeight="1"/>
    <row r="197" s="3" customFormat="1" ht="16.8" customHeight="1"/>
    <row r="198" s="3" customFormat="1" ht="16.8" customHeight="1"/>
    <row r="199" s="3" customFormat="1" ht="16.8" customHeight="1"/>
    <row r="200" s="3" customFormat="1" ht="16.8" customHeight="1"/>
    <row r="201" s="3" customFormat="1" ht="16.8" customHeight="1"/>
    <row r="202" s="3" customFormat="1" ht="16.8" customHeight="1"/>
    <row r="203" s="3" customFormat="1" ht="16.8" customHeight="1"/>
    <row r="204" s="3" customFormat="1" ht="16.8" customHeight="1"/>
    <row r="205" s="3" customFormat="1" ht="16.8" customHeight="1"/>
    <row r="206" s="3" customFormat="1" ht="13.8"/>
    <row r="207" s="3" customFormat="1" ht="13.8"/>
    <row r="208" s="3" customFormat="1" ht="13.8"/>
    <row r="209" s="3" customFormat="1" ht="13.8"/>
    <row r="210" s="3" customFormat="1" ht="13.8"/>
    <row r="211" s="3" customFormat="1" ht="13.8"/>
    <row r="212" s="3" customFormat="1" ht="13.8"/>
    <row r="213" s="3" customFormat="1" ht="13.8"/>
    <row r="214" s="3" customFormat="1" ht="13.8"/>
    <row r="215" s="3" customFormat="1" ht="13.8"/>
    <row r="216" s="3" customFormat="1" ht="13.8"/>
    <row r="217" s="3" customFormat="1" ht="13.8"/>
    <row r="218" s="3" customFormat="1" ht="13.8"/>
    <row r="219" s="3" customFormat="1" ht="13.8"/>
    <row r="220" s="3" customFormat="1" ht="13.8"/>
    <row r="221" s="3" customFormat="1" ht="13.8"/>
    <row r="222" s="3" customFormat="1" ht="13.8"/>
    <row r="223" s="3" customFormat="1" ht="13.8"/>
    <row r="224" s="3" customFormat="1" ht="13.8"/>
    <row r="225" s="3" customFormat="1" ht="13.8"/>
    <row r="226" s="3" customFormat="1" ht="13.8"/>
    <row r="227" s="3" customFormat="1" ht="13.8"/>
    <row r="228" s="3" customFormat="1" ht="13.8"/>
    <row r="229" s="3" customFormat="1" ht="13.8"/>
    <row r="230" s="3" customFormat="1" ht="13.8"/>
    <row r="231" s="3" customFormat="1" ht="13.8"/>
    <row r="232" s="3" customFormat="1" ht="13.8"/>
    <row r="233" s="3" customFormat="1" ht="13.8"/>
    <row r="234" s="3" customFormat="1" ht="13.8"/>
    <row r="235" s="3" customFormat="1" ht="13.8"/>
    <row r="236" s="3" customFormat="1" ht="13.8"/>
    <row r="237" s="3" customFormat="1" ht="13.8"/>
    <row r="238" s="3" customFormat="1" ht="13.8"/>
    <row r="239" s="3" customFormat="1" ht="13.8"/>
    <row r="240" s="3" customFormat="1" ht="13.8"/>
    <row r="241" spans="10:10" s="3" customFormat="1" ht="13.8"/>
    <row r="242" spans="10:10" s="3" customFormat="1" ht="13.8"/>
    <row r="243" spans="10:10" s="3" customFormat="1" ht="13.8"/>
    <row r="244" spans="10:10" s="3" customFormat="1" ht="13.8"/>
    <row r="245" spans="10:10" s="3" customFormat="1" ht="13.8"/>
    <row r="246" spans="10:10" s="3" customFormat="1" ht="13.8"/>
    <row r="247" spans="10:10" s="3" customFormat="1" ht="13.8"/>
    <row r="248" spans="10:10" s="3" customFormat="1" ht="13.8"/>
    <row r="249" spans="10:10" s="3" customFormat="1" ht="13.8"/>
    <row r="250" spans="10:10" s="3" customFormat="1" ht="13.8"/>
    <row r="251" spans="10:10" s="3" customFormat="1" ht="13.8"/>
    <row r="252" spans="10:10" s="3" customFormat="1" ht="13.8"/>
    <row r="253" spans="10:10" s="3" customFormat="1" ht="13.8"/>
    <row r="254" spans="10:10" s="3" customFormat="1" ht="13.8"/>
    <row r="255" spans="10:10" s="3" customFormat="1" ht="13.8"/>
    <row r="256" spans="10:10">
      <c r="J256" s="3"/>
    </row>
    <row r="257" spans="10:10">
      <c r="J257" s="3"/>
    </row>
    <row r="258" spans="10:10">
      <c r="J258" s="3"/>
    </row>
  </sheetData>
  <sheetProtection password="CEBA" sheet="1" objects="1" scenarios="1"/>
  <hyperlinks>
    <hyperlink ref="B40" r:id="rId1" display="https://www.youtube.com/watch?v=UdxJl8G-ExQ"/>
  </hyperlinks>
  <pageMargins left="0" right="0" top="0" bottom="0" header="0.31496062992125984" footer="0.31496062992125984"/>
  <pageSetup paperSize="9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0" sqref="O20"/>
    </sheetView>
  </sheetViews>
  <sheetFormatPr baseColWidth="10" defaultRowHeight="14.4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1"/>
  <sheetViews>
    <sheetView zoomScaleNormal="100" workbookViewId="0">
      <selection activeCell="J64" sqref="J64"/>
    </sheetView>
  </sheetViews>
  <sheetFormatPr baseColWidth="10" defaultRowHeight="14.4"/>
  <cols>
    <col min="1" max="1" width="1.33203125" customWidth="1"/>
    <col min="2" max="2" width="31.77734375" style="10" customWidth="1"/>
    <col min="3" max="3" width="9.21875" style="12" customWidth="1"/>
    <col min="4" max="4" width="13.21875" style="36" customWidth="1"/>
    <col min="5" max="5" width="11.21875" style="36" customWidth="1"/>
    <col min="6" max="6" width="78.77734375" customWidth="1"/>
    <col min="7" max="7" width="1.33203125" style="935" customWidth="1"/>
    <col min="8" max="9" width="11.5546875" style="10"/>
    <col min="10" max="10" width="23.21875" customWidth="1"/>
  </cols>
  <sheetData>
    <row r="1" spans="2:11" s="53" customFormat="1" ht="19.8" customHeight="1">
      <c r="B1" s="1723"/>
      <c r="C1" s="1719"/>
      <c r="D1" s="1720"/>
      <c r="E1" s="1720"/>
      <c r="F1" s="1721" t="s">
        <v>372</v>
      </c>
      <c r="G1" s="934"/>
      <c r="H1" s="68"/>
      <c r="I1" s="68"/>
    </row>
    <row r="2" spans="2:11" s="53" customFormat="1" ht="19.8" customHeight="1" thickBot="1">
      <c r="B2" s="1641"/>
      <c r="C2" s="1716"/>
      <c r="D2" s="1717"/>
      <c r="E2" s="1717"/>
      <c r="F2" s="1727"/>
      <c r="G2" s="934"/>
      <c r="H2" s="68"/>
      <c r="I2" s="68"/>
    </row>
    <row r="3" spans="2:11" s="53" customFormat="1" ht="16.8" customHeight="1">
      <c r="B3" s="1641"/>
      <c r="C3" s="1114" t="s">
        <v>438</v>
      </c>
      <c r="D3" s="326"/>
      <c r="E3" s="326"/>
      <c r="F3" s="2385" t="s">
        <v>2494</v>
      </c>
      <c r="G3" s="2384"/>
      <c r="H3" s="68"/>
      <c r="I3" s="68"/>
    </row>
    <row r="4" spans="2:11" s="53" customFormat="1" ht="16.8" customHeight="1" thickBot="1">
      <c r="B4" s="1641"/>
      <c r="C4" s="571"/>
      <c r="D4" s="326"/>
      <c r="E4" s="326"/>
      <c r="F4" s="2386" t="s">
        <v>2495</v>
      </c>
      <c r="G4" s="2384"/>
      <c r="H4" s="68"/>
      <c r="I4" s="68"/>
    </row>
    <row r="5" spans="2:11" s="53" customFormat="1" ht="20.25" customHeight="1" thickBot="1">
      <c r="B5" s="2206" t="s">
        <v>217</v>
      </c>
      <c r="C5" s="2203" t="s">
        <v>218</v>
      </c>
      <c r="D5" s="2203" t="s">
        <v>219</v>
      </c>
      <c r="E5" s="2203" t="s">
        <v>220</v>
      </c>
      <c r="F5" s="2205" t="s">
        <v>237</v>
      </c>
      <c r="G5" s="1583"/>
      <c r="H5" s="68"/>
      <c r="I5" s="68"/>
    </row>
    <row r="6" spans="2:11" s="53" customFormat="1" ht="20.25" customHeight="1">
      <c r="B6" s="2401" t="s">
        <v>248</v>
      </c>
      <c r="C6" s="2402" t="s">
        <v>216</v>
      </c>
      <c r="D6" s="2403">
        <f>PI()</f>
        <v>3.1415926535897931</v>
      </c>
      <c r="E6" s="2404">
        <v>1</v>
      </c>
      <c r="F6" s="2451" t="s">
        <v>1991</v>
      </c>
      <c r="G6" s="1584"/>
      <c r="H6" s="68"/>
      <c r="I6" s="68"/>
    </row>
    <row r="7" spans="2:11" s="53" customFormat="1" ht="20.25" customHeight="1">
      <c r="B7" s="1639"/>
      <c r="C7" s="1738"/>
      <c r="D7" s="1587"/>
      <c r="E7" s="327"/>
      <c r="F7" s="1640" t="s">
        <v>1992</v>
      </c>
      <c r="G7" s="1583"/>
      <c r="H7" s="68"/>
      <c r="I7" s="68"/>
    </row>
    <row r="8" spans="2:11" s="53" customFormat="1" ht="20.25" customHeight="1" thickBot="1">
      <c r="B8" s="2455"/>
      <c r="C8" s="2116" t="s">
        <v>2453</v>
      </c>
      <c r="D8" s="2456"/>
      <c r="E8" s="2457"/>
      <c r="F8" s="1763" t="s">
        <v>1993</v>
      </c>
      <c r="G8" s="1583"/>
      <c r="H8" s="68"/>
      <c r="I8" s="68"/>
    </row>
    <row r="9" spans="2:11" s="53" customFormat="1" ht="20.25" customHeight="1" thickTop="1">
      <c r="B9" s="1637" t="s">
        <v>1335</v>
      </c>
      <c r="C9" s="1740" t="s">
        <v>233</v>
      </c>
      <c r="D9" s="1728">
        <f>1+1/1+(1/(1*2))+1/(1*2*3)+1/(1*2*3*4)+1/(1*2*3*4*5)+1/(1*2*3*4*5*6)+1/(1*2*3*4*5*6*7)+1/(1*2*3*4*5*6*7*8)+1/(1*2*3*4*5*6*7*8*9)+1/(1*2*3*4*5*6*7*8*9*10)</f>
        <v>2.7182818011463845</v>
      </c>
      <c r="E9" s="1586">
        <v>1</v>
      </c>
      <c r="F9" s="1726" t="s">
        <v>2229</v>
      </c>
      <c r="G9" s="1584"/>
      <c r="H9" s="68"/>
      <c r="I9" s="68"/>
    </row>
    <row r="10" spans="2:11" s="53" customFormat="1" ht="20.25" customHeight="1">
      <c r="B10" s="1643"/>
      <c r="C10" s="1741"/>
      <c r="D10" s="1625"/>
      <c r="E10" s="1626"/>
      <c r="F10" s="1638" t="s">
        <v>2955</v>
      </c>
      <c r="G10" s="1583"/>
      <c r="H10" s="68"/>
      <c r="I10" s="68"/>
      <c r="K10" s="82"/>
    </row>
    <row r="11" spans="2:11" s="53" customFormat="1" ht="20.25" customHeight="1">
      <c r="B11" s="1643"/>
      <c r="C11" s="1742"/>
      <c r="D11" s="1627"/>
      <c r="E11" s="1628"/>
      <c r="F11" s="1638" t="s">
        <v>2956</v>
      </c>
      <c r="G11" s="1583"/>
      <c r="H11" s="68"/>
      <c r="I11" s="68"/>
    </row>
    <row r="12" spans="2:11" s="53" customFormat="1" ht="20.25" customHeight="1" thickBot="1">
      <c r="B12" s="1919"/>
      <c r="C12" s="2116" t="s">
        <v>2454</v>
      </c>
      <c r="D12" s="1920"/>
      <c r="E12" s="1602"/>
      <c r="F12" s="1762" t="s">
        <v>2420</v>
      </c>
      <c r="G12" s="1583"/>
      <c r="H12" s="68"/>
      <c r="I12" s="68"/>
    </row>
    <row r="13" spans="2:11" s="53" customFormat="1" ht="20.25" customHeight="1" thickTop="1">
      <c r="B13" s="1637" t="s">
        <v>213</v>
      </c>
      <c r="C13" s="1737" t="s">
        <v>119</v>
      </c>
      <c r="D13" s="1729">
        <v>6.6742799999999995E-11</v>
      </c>
      <c r="E13" s="1585" t="s">
        <v>623</v>
      </c>
      <c r="F13" s="1764" t="s">
        <v>2596</v>
      </c>
      <c r="G13" s="1583"/>
      <c r="H13" s="68"/>
      <c r="I13" s="68"/>
    </row>
    <row r="14" spans="2:11" s="53" customFormat="1" ht="20.25" customHeight="1">
      <c r="B14" s="1641"/>
      <c r="C14" s="335"/>
      <c r="D14" s="328"/>
      <c r="E14" s="326"/>
      <c r="F14" s="1638" t="s">
        <v>2597</v>
      </c>
      <c r="G14" s="1583"/>
      <c r="H14" s="68"/>
      <c r="I14" s="10"/>
    </row>
    <row r="15" spans="2:11" s="53" customFormat="1" ht="20.25" customHeight="1" thickBot="1">
      <c r="B15" s="1644"/>
      <c r="C15" s="1743"/>
      <c r="D15" s="1592"/>
      <c r="E15" s="1596"/>
      <c r="F15" s="1762" t="s">
        <v>2598</v>
      </c>
      <c r="G15" s="1583"/>
      <c r="H15" s="68"/>
      <c r="I15" s="10"/>
    </row>
    <row r="16" spans="2:11" s="53" customFormat="1" ht="20.25" customHeight="1" thickTop="1" thickBot="1">
      <c r="B16" s="1646" t="s">
        <v>214</v>
      </c>
      <c r="C16" s="1744" t="s">
        <v>139</v>
      </c>
      <c r="D16" s="1730">
        <v>9.8066499999999994</v>
      </c>
      <c r="E16" s="1595" t="s">
        <v>624</v>
      </c>
      <c r="F16" s="1645" t="s">
        <v>2024</v>
      </c>
      <c r="G16" s="1583"/>
      <c r="H16" s="68"/>
      <c r="I16" s="68"/>
    </row>
    <row r="17" spans="2:9" s="53" customFormat="1" ht="20.25" customHeight="1" thickTop="1">
      <c r="B17" s="1647" t="s">
        <v>130</v>
      </c>
      <c r="C17" s="1745" t="s">
        <v>102</v>
      </c>
      <c r="D17" s="1731">
        <f>1/SQRT(D20*D22)</f>
        <v>299792458.01050287</v>
      </c>
      <c r="E17" s="1598" t="s">
        <v>625</v>
      </c>
      <c r="F17" s="1726" t="s">
        <v>2423</v>
      </c>
      <c r="G17" s="1583"/>
      <c r="H17" s="68"/>
      <c r="I17" s="68"/>
    </row>
    <row r="18" spans="2:9" s="53" customFormat="1" ht="20.25" customHeight="1">
      <c r="B18" s="1648"/>
      <c r="C18" s="1746"/>
      <c r="D18" s="1629"/>
      <c r="E18" s="1630"/>
      <c r="F18" s="1638" t="s">
        <v>2432</v>
      </c>
      <c r="G18" s="1583"/>
      <c r="H18" s="68"/>
      <c r="I18" s="10"/>
    </row>
    <row r="19" spans="2:9" s="53" customFormat="1" ht="20.25" customHeight="1" thickBot="1">
      <c r="B19" s="1644"/>
      <c r="C19" s="1668"/>
      <c r="D19" s="1631"/>
      <c r="E19" s="1632"/>
      <c r="F19" s="1762" t="s">
        <v>2424</v>
      </c>
      <c r="G19" s="1583"/>
      <c r="H19" s="68"/>
      <c r="I19" s="68"/>
    </row>
    <row r="20" spans="2:9" s="53" customFormat="1" ht="20.25" customHeight="1" thickTop="1">
      <c r="B20" s="1649" t="s">
        <v>238</v>
      </c>
      <c r="C20" s="2251" t="s">
        <v>2375</v>
      </c>
      <c r="D20" s="1732">
        <v>8.8541878170000005E-12</v>
      </c>
      <c r="E20" s="1636" t="s">
        <v>626</v>
      </c>
      <c r="F20" s="1638" t="s">
        <v>1994</v>
      </c>
      <c r="G20" s="1584"/>
      <c r="H20" s="68"/>
      <c r="I20" s="68"/>
    </row>
    <row r="21" spans="2:9" s="53" customFormat="1" ht="20.25" customHeight="1" thickBot="1">
      <c r="B21" s="1650"/>
      <c r="C21" s="2117" t="s">
        <v>2455</v>
      </c>
      <c r="D21" s="1633"/>
      <c r="E21" s="1634"/>
      <c r="F21" s="1651"/>
      <c r="G21" s="1584"/>
      <c r="H21" s="68"/>
      <c r="I21" s="68"/>
    </row>
    <row r="22" spans="2:9" s="53" customFormat="1" ht="20.25" customHeight="1" thickTop="1">
      <c r="B22" s="1647" t="s">
        <v>215</v>
      </c>
      <c r="C22" s="1747" t="s">
        <v>2018</v>
      </c>
      <c r="D22" s="1733">
        <f>4*PI()*0.0000001</f>
        <v>1.2566370614359173E-6</v>
      </c>
      <c r="E22" s="1591" t="s">
        <v>627</v>
      </c>
      <c r="F22" s="1726" t="s">
        <v>1995</v>
      </c>
      <c r="G22" s="1584"/>
      <c r="H22" s="68"/>
      <c r="I22" s="68"/>
    </row>
    <row r="23" spans="2:9" s="53" customFormat="1" ht="20.25" customHeight="1">
      <c r="B23" s="1641"/>
      <c r="C23" s="1827"/>
      <c r="D23" s="1840" t="s">
        <v>2099</v>
      </c>
      <c r="E23" s="2400"/>
      <c r="F23" s="2399" t="s">
        <v>2882</v>
      </c>
      <c r="G23" s="2398"/>
      <c r="H23" s="68"/>
      <c r="I23"/>
    </row>
    <row r="24" spans="2:9" s="53" customFormat="1" ht="20.25" customHeight="1" thickBot="1">
      <c r="B24" s="1921"/>
      <c r="C24" s="2118" t="s">
        <v>2456</v>
      </c>
      <c r="D24" s="1828"/>
      <c r="E24" s="1922"/>
      <c r="F24" s="2454"/>
      <c r="G24" s="1584"/>
      <c r="H24" s="68"/>
      <c r="I24" s="68"/>
    </row>
    <row r="25" spans="2:9" s="53" customFormat="1" ht="20.25" customHeight="1" thickTop="1" thickBot="1">
      <c r="B25" s="1690" t="s">
        <v>2959</v>
      </c>
      <c r="C25" s="2460" t="s">
        <v>2960</v>
      </c>
      <c r="D25" s="2458">
        <f>1/(4*D6*D20)</f>
        <v>8987551787.9979115</v>
      </c>
      <c r="E25" s="2459" t="s">
        <v>2961</v>
      </c>
      <c r="F25" s="2461" t="s">
        <v>2963</v>
      </c>
      <c r="G25" s="1584"/>
      <c r="H25" s="68"/>
      <c r="I25" s="68"/>
    </row>
    <row r="26" spans="2:9" s="53" customFormat="1" ht="20.25" customHeight="1" thickTop="1" thickBot="1">
      <c r="B26" s="1690" t="s">
        <v>222</v>
      </c>
      <c r="C26" s="2252" t="s">
        <v>2019</v>
      </c>
      <c r="D26" s="1826">
        <v>6.0221415000000003E+23</v>
      </c>
      <c r="E26" s="1635" t="s">
        <v>229</v>
      </c>
      <c r="F26" s="1645" t="s">
        <v>2067</v>
      </c>
      <c r="G26" s="1584"/>
      <c r="H26" s="68"/>
      <c r="I26" s="68"/>
    </row>
    <row r="27" spans="2:9" s="53" customFormat="1" ht="20.25" customHeight="1" thickTop="1">
      <c r="B27" s="1652" t="s">
        <v>221</v>
      </c>
      <c r="C27" s="1740" t="s">
        <v>118</v>
      </c>
      <c r="D27" s="1734">
        <f>D26*D44</f>
        <v>96485.337716389957</v>
      </c>
      <c r="E27" s="1599" t="s">
        <v>628</v>
      </c>
      <c r="F27" s="1764" t="s">
        <v>1997</v>
      </c>
      <c r="G27" s="1583"/>
      <c r="H27" s="68"/>
      <c r="I27" s="68"/>
    </row>
    <row r="28" spans="2:9" s="53" customFormat="1" ht="20.25" customHeight="1" thickBot="1">
      <c r="B28" s="1653"/>
      <c r="C28" s="1749"/>
      <c r="D28" s="1839" t="s">
        <v>2964</v>
      </c>
      <c r="E28" s="1654"/>
      <c r="F28" s="1655" t="s">
        <v>1996</v>
      </c>
      <c r="G28" s="1583"/>
      <c r="H28" s="68"/>
      <c r="I28" s="68"/>
    </row>
    <row r="29" spans="2:9" s="53" customFormat="1" ht="19.8" customHeight="1">
      <c r="B29" s="1718"/>
      <c r="C29" s="1719"/>
      <c r="D29" s="1720"/>
      <c r="E29" s="1720"/>
      <c r="F29" s="1721" t="s">
        <v>371</v>
      </c>
      <c r="G29" s="1583"/>
      <c r="H29" s="68"/>
      <c r="I29" s="68"/>
    </row>
    <row r="30" spans="2:9" s="53" customFormat="1" ht="18" customHeight="1">
      <c r="B30" s="1722"/>
      <c r="C30" s="1114" t="s">
        <v>231</v>
      </c>
      <c r="D30" s="108"/>
      <c r="E30" s="326"/>
      <c r="F30" s="1640"/>
      <c r="G30" s="1583"/>
      <c r="H30" s="68"/>
      <c r="I30" s="68"/>
    </row>
    <row r="31" spans="2:9" s="53" customFormat="1" ht="17.399999999999999" customHeight="1" thickBot="1">
      <c r="B31" s="1829"/>
      <c r="C31" s="1700"/>
      <c r="D31" s="1713"/>
      <c r="E31" s="1830"/>
      <c r="F31" s="1831"/>
      <c r="G31" s="1583"/>
      <c r="H31" s="68"/>
      <c r="I31" s="68"/>
    </row>
    <row r="32" spans="2:9" s="53" customFormat="1" ht="20.25" customHeight="1" thickBot="1">
      <c r="B32" s="2202" t="s">
        <v>217</v>
      </c>
      <c r="C32" s="1757" t="s">
        <v>218</v>
      </c>
      <c r="D32" s="1757" t="s">
        <v>219</v>
      </c>
      <c r="E32" s="1757" t="s">
        <v>220</v>
      </c>
      <c r="F32" s="2205" t="s">
        <v>237</v>
      </c>
      <c r="G32" s="1583"/>
      <c r="H32" s="68"/>
      <c r="I32" s="68"/>
    </row>
    <row r="33" spans="2:9" s="53" customFormat="1" ht="20.25" customHeight="1" thickBot="1">
      <c r="B33" s="1690" t="s">
        <v>234</v>
      </c>
      <c r="C33" s="2252" t="s">
        <v>2020</v>
      </c>
      <c r="D33" s="2207">
        <v>2.2413995999999999E-2</v>
      </c>
      <c r="E33" s="1635" t="s">
        <v>622</v>
      </c>
      <c r="F33" s="1645" t="s">
        <v>1998</v>
      </c>
      <c r="G33" s="1583"/>
      <c r="H33" s="68"/>
      <c r="I33" s="68"/>
    </row>
    <row r="34" spans="2:9" s="53" customFormat="1" ht="20.25" customHeight="1" thickTop="1">
      <c r="B34" s="1691" t="s">
        <v>223</v>
      </c>
      <c r="C34" s="2253" t="s">
        <v>2021</v>
      </c>
      <c r="D34" s="1734">
        <f>D26/D33</f>
        <v>2.6867772707731368E+25</v>
      </c>
      <c r="E34" s="1656" t="s">
        <v>230</v>
      </c>
      <c r="F34" s="1764" t="s">
        <v>1999</v>
      </c>
      <c r="G34" s="1613"/>
      <c r="H34" s="68"/>
      <c r="I34" s="68"/>
    </row>
    <row r="35" spans="2:9" s="53" customFormat="1" ht="20.25" customHeight="1" thickBot="1">
      <c r="B35" s="1705"/>
      <c r="C35" s="1750"/>
      <c r="D35" s="2149" t="s">
        <v>2100</v>
      </c>
      <c r="E35" s="1657"/>
      <c r="F35" s="1706" t="s">
        <v>235</v>
      </c>
      <c r="G35" s="1583"/>
      <c r="H35" s="68"/>
      <c r="I35" s="68"/>
    </row>
    <row r="36" spans="2:9" s="53" customFormat="1" ht="20.25" customHeight="1" thickTop="1">
      <c r="B36" s="1691" t="s">
        <v>224</v>
      </c>
      <c r="C36" s="2254" t="s">
        <v>2022</v>
      </c>
      <c r="D36" s="1732">
        <v>101325</v>
      </c>
      <c r="E36" s="1590" t="s">
        <v>225</v>
      </c>
      <c r="F36" s="2452" t="s">
        <v>2433</v>
      </c>
      <c r="G36" s="1583"/>
      <c r="H36" s="68"/>
      <c r="I36" s="68"/>
    </row>
    <row r="37" spans="2:9" s="53" customFormat="1" ht="20.25" customHeight="1" thickBot="1">
      <c r="B37" s="1644"/>
      <c r="C37" s="1743"/>
      <c r="D37" s="1592"/>
      <c r="E37" s="1593"/>
      <c r="F37" s="2453" t="s">
        <v>2000</v>
      </c>
      <c r="G37" s="1583"/>
      <c r="H37" s="68"/>
      <c r="I37" s="68"/>
    </row>
    <row r="38" spans="2:9" s="53" customFormat="1" ht="20.25" customHeight="1" thickTop="1" thickBot="1">
      <c r="B38" s="1690" t="s">
        <v>226</v>
      </c>
      <c r="C38" s="1748" t="s">
        <v>227</v>
      </c>
      <c r="D38" s="1758">
        <v>0</v>
      </c>
      <c r="E38" s="1595" t="s">
        <v>81</v>
      </c>
      <c r="F38" s="1707" t="s">
        <v>2001</v>
      </c>
      <c r="G38" s="1583"/>
      <c r="H38" s="68"/>
      <c r="I38" s="68"/>
    </row>
    <row r="39" spans="2:9" s="53" customFormat="1" ht="20.25" customHeight="1" thickTop="1">
      <c r="B39" s="1649" t="s">
        <v>236</v>
      </c>
      <c r="C39" s="1751" t="s">
        <v>227</v>
      </c>
      <c r="D39" s="1759">
        <v>273.16000000000003</v>
      </c>
      <c r="E39" s="1594" t="s">
        <v>81</v>
      </c>
      <c r="F39" s="1764" t="s">
        <v>2634</v>
      </c>
      <c r="G39" s="1583"/>
      <c r="H39" s="68"/>
      <c r="I39" s="68"/>
    </row>
    <row r="40" spans="2:9" s="53" customFormat="1" ht="20.25" customHeight="1">
      <c r="B40" s="1639"/>
      <c r="C40" s="1738"/>
      <c r="D40" s="1600"/>
      <c r="E40" s="327"/>
      <c r="F40" s="1640" t="s">
        <v>2635</v>
      </c>
      <c r="G40" s="1583"/>
      <c r="H40" s="68"/>
      <c r="I40" s="68"/>
    </row>
    <row r="41" spans="2:9" s="53" customFormat="1" ht="20.25" customHeight="1">
      <c r="B41" s="1641"/>
      <c r="C41" s="326"/>
      <c r="D41" s="326"/>
      <c r="E41" s="493"/>
      <c r="F41" s="1640" t="s">
        <v>2633</v>
      </c>
      <c r="G41" s="1583"/>
      <c r="H41" s="68"/>
      <c r="I41" s="68"/>
    </row>
    <row r="42" spans="2:9" s="53" customFormat="1" ht="20.25" customHeight="1">
      <c r="B42" s="1641"/>
      <c r="C42" s="335"/>
      <c r="D42" s="326"/>
      <c r="E42" s="1588"/>
      <c r="F42" s="1640" t="s">
        <v>2002</v>
      </c>
      <c r="G42" s="1583"/>
      <c r="H42" s="68"/>
      <c r="I42" s="68"/>
    </row>
    <row r="43" spans="2:9" s="53" customFormat="1" ht="20.25" customHeight="1" thickBot="1">
      <c r="B43" s="1708"/>
      <c r="C43" s="1739"/>
      <c r="D43" s="1601"/>
      <c r="E43" s="1602"/>
      <c r="F43" s="1762" t="s">
        <v>2636</v>
      </c>
      <c r="G43" s="1613"/>
      <c r="H43" s="68"/>
      <c r="I43" s="68"/>
    </row>
    <row r="44" spans="2:9" s="71" customFormat="1" ht="20.25" customHeight="1" thickTop="1">
      <c r="B44" s="1709" t="s">
        <v>232</v>
      </c>
      <c r="C44" s="1752" t="s">
        <v>233</v>
      </c>
      <c r="D44" s="1760">
        <v>1.60217653E-19</v>
      </c>
      <c r="E44" s="1609" t="s">
        <v>1970</v>
      </c>
      <c r="F44" s="1838" t="s">
        <v>2003</v>
      </c>
      <c r="G44" s="1614"/>
      <c r="H44" s="2170"/>
      <c r="I44" s="2170"/>
    </row>
    <row r="45" spans="2:9" s="53" customFormat="1" ht="20.25" customHeight="1">
      <c r="B45" s="1710"/>
      <c r="C45" s="1753"/>
      <c r="D45" s="1605"/>
      <c r="E45" s="1603"/>
      <c r="F45" s="1638" t="s">
        <v>2004</v>
      </c>
      <c r="G45" s="1615"/>
      <c r="H45" s="68"/>
      <c r="I45" s="68"/>
    </row>
    <row r="46" spans="2:9" s="53" customFormat="1" ht="20.25" customHeight="1">
      <c r="B46" s="1923"/>
      <c r="C46" s="1894" t="s">
        <v>2457</v>
      </c>
      <c r="D46" s="1924"/>
      <c r="E46" s="1925"/>
      <c r="F46" s="1638" t="s">
        <v>2005</v>
      </c>
      <c r="G46" s="1613"/>
      <c r="H46" s="68"/>
      <c r="I46" s="68"/>
    </row>
    <row r="47" spans="2:9" s="53" customFormat="1" ht="20.25" customHeight="1">
      <c r="B47" s="1685"/>
      <c r="C47" s="571"/>
      <c r="D47" s="955"/>
      <c r="E47" s="1607"/>
      <c r="F47" s="1763" t="s">
        <v>2435</v>
      </c>
      <c r="G47" s="1613"/>
      <c r="H47" s="68"/>
      <c r="I47" s="68"/>
    </row>
    <row r="48" spans="2:9" s="53" customFormat="1" ht="20.25" customHeight="1" thickBot="1">
      <c r="B48" s="1687"/>
      <c r="C48" s="1623"/>
      <c r="D48" s="1608"/>
      <c r="E48" s="1659"/>
      <c r="F48" s="1763" t="s">
        <v>2434</v>
      </c>
      <c r="G48" s="1613"/>
      <c r="H48" s="68"/>
      <c r="I48" s="68"/>
    </row>
    <row r="49" spans="2:10" s="53" customFormat="1" ht="20.25" customHeight="1" thickTop="1">
      <c r="B49" s="1691" t="s">
        <v>239</v>
      </c>
      <c r="C49" s="2255" t="s">
        <v>2023</v>
      </c>
      <c r="D49" s="1729">
        <v>1.3806490000000001E-23</v>
      </c>
      <c r="E49" s="2097" t="s">
        <v>1979</v>
      </c>
      <c r="F49" s="1642" t="s">
        <v>2425</v>
      </c>
      <c r="G49" s="1617"/>
      <c r="H49" s="68"/>
      <c r="I49" s="68"/>
    </row>
    <row r="50" spans="2:10" s="53" customFormat="1" ht="20.25" customHeight="1">
      <c r="B50" s="1684"/>
      <c r="C50" s="571"/>
      <c r="D50" s="2096"/>
      <c r="E50" s="1603"/>
      <c r="F50" s="1640" t="s">
        <v>2430</v>
      </c>
      <c r="G50" s="1617"/>
      <c r="H50" s="68"/>
      <c r="I50" s="68"/>
    </row>
    <row r="51" spans="2:10" s="53" customFormat="1" ht="20.25" customHeight="1">
      <c r="B51" s="1684"/>
      <c r="C51" s="571"/>
      <c r="D51" s="2096"/>
      <c r="E51" s="1607"/>
      <c r="F51" s="1640" t="s">
        <v>2431</v>
      </c>
      <c r="G51" s="1617"/>
      <c r="H51" s="68"/>
      <c r="I51" s="68"/>
    </row>
    <row r="52" spans="2:10" s="53" customFormat="1" ht="20.25" customHeight="1" thickBot="1">
      <c r="B52" s="1687"/>
      <c r="C52" s="1623"/>
      <c r="D52" s="1608"/>
      <c r="E52" s="1659"/>
      <c r="F52" s="1689" t="s">
        <v>2426</v>
      </c>
      <c r="G52" s="1616"/>
      <c r="H52" s="68"/>
      <c r="I52" s="68"/>
    </row>
    <row r="53" spans="2:10" s="53" customFormat="1" ht="20.25" customHeight="1" thickTop="1">
      <c r="B53" s="1637" t="s">
        <v>249</v>
      </c>
      <c r="C53" s="1611" t="s">
        <v>176</v>
      </c>
      <c r="D53" s="1728">
        <f>D26*D49</f>
        <v>8.3144636398335017</v>
      </c>
      <c r="E53" s="1679" t="s">
        <v>1980</v>
      </c>
      <c r="F53" s="1726" t="s">
        <v>2031</v>
      </c>
      <c r="G53" s="1616"/>
      <c r="H53" s="68"/>
      <c r="I53" s="68"/>
    </row>
    <row r="54" spans="2:10" s="53" customFormat="1" ht="20.25" customHeight="1">
      <c r="B54" s="1711"/>
      <c r="C54" s="1754"/>
      <c r="D54" s="1840" t="s">
        <v>2101</v>
      </c>
      <c r="E54" s="1658"/>
      <c r="F54" s="1640" t="s">
        <v>2030</v>
      </c>
      <c r="G54" s="1616"/>
      <c r="H54" s="68"/>
      <c r="I54" s="68"/>
    </row>
    <row r="55" spans="2:10" s="53" customFormat="1" ht="20.25" customHeight="1">
      <c r="B55" s="1685"/>
      <c r="C55" s="571"/>
      <c r="D55" s="491"/>
      <c r="E55" s="1607"/>
      <c r="F55" s="1640" t="s">
        <v>2007</v>
      </c>
      <c r="G55" s="1616"/>
      <c r="H55" s="68"/>
      <c r="I55" s="68"/>
    </row>
    <row r="56" spans="2:10" s="53" customFormat="1" ht="20.25" customHeight="1" thickBot="1">
      <c r="B56" s="1712"/>
      <c r="C56" s="1755"/>
      <c r="D56" s="1713"/>
      <c r="E56" s="1714"/>
      <c r="F56" s="1655" t="s">
        <v>2006</v>
      </c>
      <c r="G56" s="1616"/>
      <c r="H56" s="68"/>
      <c r="I56" s="68"/>
    </row>
    <row r="57" spans="2:10" s="53" customFormat="1" ht="19.8" customHeight="1">
      <c r="B57" s="1723"/>
      <c r="C57" s="1756"/>
      <c r="D57" s="1724"/>
      <c r="E57" s="1725"/>
      <c r="F57" s="1721" t="s">
        <v>369</v>
      </c>
      <c r="G57" s="1616"/>
      <c r="H57" s="68"/>
      <c r="I57" s="68"/>
    </row>
    <row r="58" spans="2:10" s="53" customFormat="1" ht="20.25" customHeight="1">
      <c r="B58" s="1641"/>
      <c r="C58" s="335"/>
      <c r="D58" s="108"/>
      <c r="E58" s="326"/>
      <c r="F58" s="1727"/>
      <c r="G58" s="1616"/>
      <c r="H58" s="68"/>
      <c r="I58" s="68"/>
    </row>
    <row r="59" spans="2:10" s="53" customFormat="1" ht="20.25" customHeight="1">
      <c r="B59" s="1641"/>
      <c r="C59" s="335"/>
      <c r="D59" s="108"/>
      <c r="E59" s="326"/>
      <c r="F59" s="1727"/>
      <c r="G59" s="1616"/>
      <c r="H59" s="68"/>
      <c r="I59" s="68"/>
      <c r="J59"/>
    </row>
    <row r="60" spans="2:10" s="53" customFormat="1" ht="20.25" customHeight="1">
      <c r="B60" s="1641"/>
      <c r="C60" s="1114" t="s">
        <v>231</v>
      </c>
      <c r="D60" s="108"/>
      <c r="E60" s="326"/>
      <c r="F60" s="1686"/>
      <c r="G60" s="1616"/>
      <c r="H60" s="68"/>
      <c r="I60" s="68"/>
    </row>
    <row r="61" spans="2:10" s="53" customFormat="1" ht="16.2" customHeight="1" thickBot="1">
      <c r="B61" s="1641"/>
      <c r="C61" s="571"/>
      <c r="D61" s="108"/>
      <c r="E61" s="326"/>
      <c r="F61" s="1686"/>
      <c r="G61" s="1616"/>
      <c r="H61" s="68"/>
      <c r="I61" s="68"/>
    </row>
    <row r="62" spans="2:10" s="53" customFormat="1" ht="20.25" customHeight="1" thickBot="1">
      <c r="B62" s="2202" t="s">
        <v>217</v>
      </c>
      <c r="C62" s="1757" t="s">
        <v>218</v>
      </c>
      <c r="D62" s="1757" t="s">
        <v>219</v>
      </c>
      <c r="E62" s="1757" t="s">
        <v>220</v>
      </c>
      <c r="F62" s="2205" t="s">
        <v>237</v>
      </c>
      <c r="G62" s="1616"/>
      <c r="H62" s="68"/>
      <c r="I62" s="68"/>
    </row>
    <row r="63" spans="2:10" s="53" customFormat="1" ht="20.25" customHeight="1">
      <c r="B63" s="1703" t="s">
        <v>1987</v>
      </c>
      <c r="C63" s="1589" t="s">
        <v>67</v>
      </c>
      <c r="D63" s="1729">
        <v>6.6260701499999998E-34</v>
      </c>
      <c r="E63" s="1622" t="s">
        <v>1981</v>
      </c>
      <c r="F63" s="1764" t="s">
        <v>2972</v>
      </c>
      <c r="G63" s="1616"/>
      <c r="H63" s="68"/>
      <c r="I63" s="68"/>
    </row>
    <row r="64" spans="2:10" s="53" customFormat="1" ht="20.25" customHeight="1">
      <c r="B64" s="1684"/>
      <c r="C64" s="335"/>
      <c r="D64" s="955"/>
      <c r="E64" s="1620" t="s">
        <v>1982</v>
      </c>
      <c r="F64" s="1638" t="s">
        <v>2971</v>
      </c>
      <c r="G64" s="1616"/>
      <c r="H64" s="68"/>
      <c r="I64" s="68"/>
    </row>
    <row r="65" spans="2:10" s="53" customFormat="1" ht="20.25" customHeight="1">
      <c r="B65" s="1684"/>
      <c r="C65" s="335"/>
      <c r="D65" s="955"/>
      <c r="E65" s="955"/>
      <c r="F65" s="1638" t="s">
        <v>2973</v>
      </c>
      <c r="G65" s="1616"/>
      <c r="H65" s="68"/>
      <c r="I65" s="68"/>
      <c r="J65"/>
    </row>
    <row r="66" spans="2:10" s="53" customFormat="1" ht="20.25" customHeight="1">
      <c r="B66" s="1704"/>
      <c r="C66" s="335"/>
      <c r="D66" s="955"/>
      <c r="E66" s="955"/>
      <c r="F66" s="1638" t="s">
        <v>2974</v>
      </c>
      <c r="G66" s="1616"/>
      <c r="H66" s="68"/>
      <c r="I66" s="68"/>
    </row>
    <row r="67" spans="2:10" s="53" customFormat="1" ht="20.25" customHeight="1" thickBot="1">
      <c r="B67" s="1687"/>
      <c r="C67" s="1623"/>
      <c r="D67" s="1608"/>
      <c r="E67" s="1608"/>
      <c r="F67" s="1762" t="s">
        <v>2008</v>
      </c>
      <c r="G67" s="1616"/>
      <c r="H67" s="68"/>
      <c r="I67" s="68"/>
    </row>
    <row r="68" spans="2:10" s="53" customFormat="1" ht="20.25" customHeight="1" thickTop="1">
      <c r="B68" s="1693" t="s">
        <v>241</v>
      </c>
      <c r="C68" s="2147" t="s">
        <v>240</v>
      </c>
      <c r="D68" s="1735">
        <f>D63/(2*D6)</f>
        <v>1.0545718176461565E-34</v>
      </c>
      <c r="E68" s="1619" t="s">
        <v>1981</v>
      </c>
      <c r="F68" s="1764" t="s">
        <v>2225</v>
      </c>
      <c r="G68" s="1616"/>
      <c r="H68" s="68"/>
      <c r="I68" s="68"/>
    </row>
    <row r="69" spans="2:10" s="53" customFormat="1" ht="20.25" customHeight="1" thickBot="1">
      <c r="B69" s="2146"/>
      <c r="C69" s="2148"/>
      <c r="D69" s="2145"/>
      <c r="E69" s="1624" t="s">
        <v>1982</v>
      </c>
      <c r="F69" s="1762" t="s">
        <v>2009</v>
      </c>
      <c r="G69" s="1616"/>
      <c r="H69" s="68"/>
      <c r="I69" s="68"/>
    </row>
    <row r="70" spans="2:10" s="53" customFormat="1" ht="20.25" customHeight="1" thickTop="1">
      <c r="B70" s="1652" t="s">
        <v>244</v>
      </c>
      <c r="C70" s="1589" t="s">
        <v>242</v>
      </c>
      <c r="D70" s="1735">
        <f>(2*POWER(D6,5)*POWER(D49,4))/(15*POWER(D17,2)*POWER(D63,3))</f>
        <v>5.6703744187871213E-8</v>
      </c>
      <c r="E70" s="1621" t="s">
        <v>1983</v>
      </c>
      <c r="F70" s="1764" t="s">
        <v>2226</v>
      </c>
      <c r="G70" s="1616"/>
      <c r="H70" s="68"/>
      <c r="I70" s="68"/>
    </row>
    <row r="71" spans="2:10" s="53" customFormat="1" ht="20.25" customHeight="1">
      <c r="B71" s="1694"/>
      <c r="C71" s="1667"/>
      <c r="D71" s="1630"/>
      <c r="E71" s="1630"/>
      <c r="F71" s="1638" t="s">
        <v>2227</v>
      </c>
      <c r="G71" s="1616"/>
      <c r="H71" s="68"/>
      <c r="I71" s="10"/>
    </row>
    <row r="72" spans="2:10" s="53" customFormat="1" ht="20.25" customHeight="1" thickBot="1">
      <c r="B72" s="1695"/>
      <c r="C72" s="1668"/>
      <c r="D72" s="1666"/>
      <c r="E72" s="1632"/>
      <c r="F72" s="1762" t="s">
        <v>2228</v>
      </c>
      <c r="G72" s="1616"/>
      <c r="H72" s="68"/>
      <c r="I72" s="68"/>
    </row>
    <row r="73" spans="2:10" s="72" customFormat="1" ht="20.25" customHeight="1" thickTop="1">
      <c r="B73" s="1647" t="s">
        <v>243</v>
      </c>
      <c r="C73" s="2147" t="s">
        <v>81</v>
      </c>
      <c r="D73" s="1729">
        <v>2.898E-3</v>
      </c>
      <c r="E73" s="1621" t="s">
        <v>1972</v>
      </c>
      <c r="F73" s="1764" t="s">
        <v>2010</v>
      </c>
      <c r="G73" s="1617"/>
      <c r="H73" s="2171"/>
      <c r="I73" s="2171"/>
    </row>
    <row r="74" spans="2:10" s="72" customFormat="1" ht="20.25" customHeight="1" thickBot="1">
      <c r="B74" s="2199"/>
      <c r="C74" s="2178"/>
      <c r="D74" s="1669"/>
      <c r="E74" s="1608"/>
      <c r="F74" s="1762" t="s">
        <v>2011</v>
      </c>
      <c r="G74" s="1617"/>
      <c r="H74" s="10"/>
      <c r="I74" s="2171"/>
    </row>
    <row r="75" spans="2:10" s="53" customFormat="1" ht="20.25" customHeight="1" thickTop="1">
      <c r="B75" s="1637" t="s">
        <v>245</v>
      </c>
      <c r="C75" s="2255" t="s">
        <v>1971</v>
      </c>
      <c r="D75" s="1735">
        <f>(4*PI()*D20*POWER(D68,2))/(D93*POWER(D44,2))</f>
        <v>5.2917734384442349E-11</v>
      </c>
      <c r="E75" s="1610" t="s">
        <v>8</v>
      </c>
      <c r="F75" s="1764" t="s">
        <v>2046</v>
      </c>
      <c r="G75" s="1616"/>
      <c r="H75" s="68"/>
      <c r="I75" s="10"/>
    </row>
    <row r="76" spans="2:10" s="53" customFormat="1" ht="20.25" customHeight="1">
      <c r="B76" s="1696"/>
      <c r="C76" s="1664"/>
      <c r="D76" s="1660"/>
      <c r="E76" s="1661"/>
      <c r="F76" s="1638" t="s">
        <v>2047</v>
      </c>
      <c r="G76" s="1616"/>
      <c r="H76" s="68"/>
      <c r="I76" s="68"/>
    </row>
    <row r="77" spans="2:10" s="53" customFormat="1" ht="20.25" customHeight="1">
      <c r="B77" s="1697"/>
      <c r="C77" s="1665"/>
      <c r="D77" s="1662"/>
      <c r="E77" s="1663"/>
      <c r="F77" s="1763" t="s">
        <v>2048</v>
      </c>
      <c r="G77" s="1616"/>
      <c r="H77" s="68"/>
      <c r="I77" s="68"/>
    </row>
    <row r="78" spans="2:10" s="53" customFormat="1" ht="20.25" customHeight="1">
      <c r="B78" s="1685"/>
      <c r="C78" s="571"/>
      <c r="D78" s="955"/>
      <c r="E78" s="955"/>
      <c r="F78" s="1763" t="s">
        <v>2049</v>
      </c>
      <c r="G78" s="1616"/>
      <c r="H78" s="68"/>
      <c r="I78" s="68"/>
    </row>
    <row r="79" spans="2:10" s="53" customFormat="1" ht="20.25" customHeight="1" thickBot="1">
      <c r="B79" s="1837"/>
      <c r="C79" s="1623"/>
      <c r="D79" s="1608"/>
      <c r="E79" s="1608"/>
      <c r="F79" s="1645"/>
      <c r="G79" s="1616"/>
      <c r="H79" s="68"/>
      <c r="I79" s="68"/>
    </row>
    <row r="80" spans="2:10" s="53" customFormat="1" ht="20.25" customHeight="1" thickTop="1">
      <c r="B80" s="1836" t="s">
        <v>1986</v>
      </c>
      <c r="C80" s="1671" t="s">
        <v>176</v>
      </c>
      <c r="D80" s="1736">
        <f>(D93*POWER(D44,4))/(8*POWER(D20,2)*POWER(D63,3))</f>
        <v>3289840705101633.5</v>
      </c>
      <c r="E80" s="1612" t="s">
        <v>45</v>
      </c>
      <c r="F80" s="1764" t="s">
        <v>2012</v>
      </c>
      <c r="G80" s="1616"/>
      <c r="H80" s="68"/>
      <c r="I80" s="10"/>
    </row>
    <row r="81" spans="2:10" s="53" customFormat="1" ht="20.25" customHeight="1">
      <c r="B81" s="1652" t="s">
        <v>1985</v>
      </c>
      <c r="C81" s="1664"/>
      <c r="D81" s="1660"/>
      <c r="E81" s="1661"/>
      <c r="F81" s="1640" t="s">
        <v>2013</v>
      </c>
      <c r="G81" s="1616"/>
      <c r="H81" s="68"/>
      <c r="I81" s="68"/>
    </row>
    <row r="82" spans="2:10" s="53" customFormat="1" ht="20.25" customHeight="1">
      <c r="B82" s="1692" t="s">
        <v>1984</v>
      </c>
      <c r="C82" s="1665"/>
      <c r="D82" s="1670"/>
      <c r="E82" s="1663"/>
      <c r="F82" s="1640" t="s">
        <v>2014</v>
      </c>
      <c r="G82" s="1616"/>
      <c r="H82" s="68"/>
      <c r="I82" s="68"/>
    </row>
    <row r="83" spans="2:10" s="53" customFormat="1" ht="20.25" customHeight="1">
      <c r="B83" s="1698"/>
      <c r="C83" s="571"/>
      <c r="D83" s="955"/>
      <c r="E83" s="1607"/>
      <c r="F83" s="1640" t="s">
        <v>2015</v>
      </c>
      <c r="G83" s="1616"/>
      <c r="H83" s="68"/>
      <c r="I83" s="68"/>
    </row>
    <row r="84" spans="2:10" s="53" customFormat="1" ht="20.25" customHeight="1" thickBot="1">
      <c r="B84" s="1699"/>
      <c r="C84" s="1700"/>
      <c r="D84" s="1701"/>
      <c r="E84" s="1702"/>
      <c r="F84" s="1655" t="s">
        <v>2016</v>
      </c>
      <c r="G84" s="1616"/>
      <c r="H84" s="68"/>
      <c r="I84" s="68"/>
    </row>
    <row r="85" spans="2:10" s="53" customFormat="1" ht="19.2" customHeight="1">
      <c r="B85" s="1718"/>
      <c r="C85" s="1756"/>
      <c r="D85" s="1725"/>
      <c r="E85" s="1725"/>
      <c r="F85" s="1721" t="s">
        <v>370</v>
      </c>
      <c r="G85" s="1616"/>
      <c r="H85" s="10"/>
      <c r="I85" s="68"/>
    </row>
    <row r="86" spans="2:10" s="53" customFormat="1" ht="19.8" customHeight="1">
      <c r="B86" s="1648"/>
      <c r="C86" s="335"/>
      <c r="D86" s="326"/>
      <c r="E86" s="326"/>
      <c r="F86" s="1727"/>
      <c r="G86" s="1616"/>
      <c r="H86" s="10"/>
      <c r="I86" s="68"/>
    </row>
    <row r="87" spans="2:10" s="53" customFormat="1" ht="19.8" customHeight="1">
      <c r="B87" s="1648"/>
      <c r="C87" s="1114" t="s">
        <v>231</v>
      </c>
      <c r="D87" s="326"/>
      <c r="E87" s="326"/>
      <c r="F87" s="1727"/>
      <c r="G87" s="1616"/>
      <c r="H87" s="10"/>
      <c r="I87" s="68"/>
      <c r="J87"/>
    </row>
    <row r="88" spans="2:10" s="53" customFormat="1" ht="19.8" customHeight="1" thickBot="1">
      <c r="B88" s="1648"/>
      <c r="C88" s="1114"/>
      <c r="D88" s="326"/>
      <c r="E88" s="326"/>
      <c r="F88" s="1727"/>
      <c r="G88" s="1616"/>
      <c r="H88" s="10"/>
      <c r="I88" s="68"/>
    </row>
    <row r="89" spans="2:10" s="53" customFormat="1" ht="19.8" customHeight="1" thickBot="1">
      <c r="B89" s="2202" t="s">
        <v>217</v>
      </c>
      <c r="C89" s="1757" t="s">
        <v>218</v>
      </c>
      <c r="D89" s="2203" t="s">
        <v>219</v>
      </c>
      <c r="E89" s="2204" t="s">
        <v>220</v>
      </c>
      <c r="F89" s="2205" t="s">
        <v>237</v>
      </c>
      <c r="G89" s="1616"/>
      <c r="H89" s="10"/>
      <c r="I89" s="68"/>
    </row>
    <row r="90" spans="2:10" s="53" customFormat="1" ht="19.8" customHeight="1">
      <c r="B90" s="1637" t="s">
        <v>2094</v>
      </c>
      <c r="C90" s="1679" t="s">
        <v>706</v>
      </c>
      <c r="D90" s="1735">
        <f>(1/(2*D17*D20))*(D44*D44/D63)</f>
        <v>7.2973516181938595E-3</v>
      </c>
      <c r="E90" s="1679">
        <v>1</v>
      </c>
      <c r="F90" s="2185" t="s">
        <v>2095</v>
      </c>
      <c r="G90" s="1616"/>
      <c r="H90" s="10"/>
      <c r="I90" s="10"/>
    </row>
    <row r="91" spans="2:10" s="53" customFormat="1" ht="19.8" customHeight="1">
      <c r="B91" s="1648"/>
      <c r="C91" s="1833"/>
      <c r="D91" s="1660"/>
      <c r="E91" s="1661"/>
      <c r="F91" s="1835" t="s">
        <v>2097</v>
      </c>
      <c r="G91" s="1616"/>
      <c r="H91" s="10"/>
      <c r="I91" s="68"/>
    </row>
    <row r="92" spans="2:10" s="53" customFormat="1" ht="19.8" customHeight="1" thickBot="1">
      <c r="B92" s="2175"/>
      <c r="C92" s="1834"/>
      <c r="D92" s="1666"/>
      <c r="E92" s="1632"/>
      <c r="F92" s="1762" t="s">
        <v>2096</v>
      </c>
      <c r="G92" s="1616"/>
      <c r="H92" s="68"/>
      <c r="I92" s="68"/>
    </row>
    <row r="93" spans="2:10" s="70" customFormat="1" ht="19.8" customHeight="1" thickTop="1">
      <c r="B93" s="1647" t="s">
        <v>246</v>
      </c>
      <c r="C93" s="1611" t="s">
        <v>1973</v>
      </c>
      <c r="D93" s="1732">
        <v>9.1093825999999998E-31</v>
      </c>
      <c r="E93" s="2097" t="s">
        <v>11</v>
      </c>
      <c r="F93" s="1640"/>
      <c r="G93" s="1616"/>
      <c r="H93" s="69"/>
      <c r="I93" s="69"/>
      <c r="J93" s="2169"/>
    </row>
    <row r="94" spans="2:10" s="70" customFormat="1" ht="19.8" customHeight="1" thickBot="1">
      <c r="B94" s="2177"/>
      <c r="C94" s="1832"/>
      <c r="D94" s="2173">
        <v>5.4857990906699995E-4</v>
      </c>
      <c r="E94" s="2180" t="s">
        <v>746</v>
      </c>
      <c r="F94" s="1689" t="s">
        <v>2533</v>
      </c>
      <c r="G94" s="1616"/>
      <c r="H94" s="69"/>
      <c r="I94" s="69"/>
      <c r="J94" s="2169"/>
    </row>
    <row r="95" spans="2:10" s="70" customFormat="1" ht="19.8" customHeight="1" thickTop="1">
      <c r="B95" s="1691" t="s">
        <v>247</v>
      </c>
      <c r="C95" s="1611" t="s">
        <v>1974</v>
      </c>
      <c r="D95" s="1606">
        <f>D93*POWER(D17,2)</f>
        <v>8.1871047874187083E-14</v>
      </c>
      <c r="E95" s="1679" t="s">
        <v>36</v>
      </c>
      <c r="F95" s="1640"/>
      <c r="G95" s="1616"/>
      <c r="H95" s="69"/>
      <c r="I95" s="69"/>
      <c r="J95" s="2169"/>
    </row>
    <row r="96" spans="2:10" s="70" customFormat="1" ht="19.8" customHeight="1">
      <c r="B96" s="1684"/>
      <c r="C96" s="1611"/>
      <c r="D96" s="2101">
        <f>D95*D112</f>
        <v>510999.0458882653</v>
      </c>
      <c r="E96" s="1677" t="s">
        <v>179</v>
      </c>
      <c r="F96" s="1640"/>
      <c r="G96" s="1616"/>
      <c r="H96" s="69"/>
      <c r="I96" s="69"/>
    </row>
    <row r="97" spans="2:10" s="70" customFormat="1" ht="19.8" customHeight="1">
      <c r="B97" s="1685"/>
      <c r="C97" s="1611"/>
      <c r="D97" s="1604">
        <f>D96/1000/1000</f>
        <v>0.51099904588826528</v>
      </c>
      <c r="E97" s="1677" t="s">
        <v>629</v>
      </c>
      <c r="F97" s="1686"/>
      <c r="G97" s="1616"/>
      <c r="H97" s="69"/>
      <c r="I97" s="69"/>
      <c r="J97" s="2169"/>
    </row>
    <row r="98" spans="2:10" s="70" customFormat="1" ht="19.8" customHeight="1" thickBot="1">
      <c r="B98" s="1695"/>
      <c r="C98" s="1678"/>
      <c r="D98" s="1715" t="s">
        <v>1988</v>
      </c>
      <c r="E98" s="1657"/>
      <c r="F98" s="1688"/>
      <c r="G98" s="1616"/>
      <c r="H98" s="69"/>
      <c r="I98" s="69"/>
    </row>
    <row r="99" spans="2:10" s="53" customFormat="1" ht="19.8" customHeight="1" thickTop="1">
      <c r="B99" s="1647" t="s">
        <v>251</v>
      </c>
      <c r="C99" s="2174" t="s">
        <v>1975</v>
      </c>
      <c r="D99" s="1732">
        <v>1.6726217100000002E-27</v>
      </c>
      <c r="E99" s="1610" t="s">
        <v>11</v>
      </c>
      <c r="F99" s="1642"/>
      <c r="G99" s="1616"/>
      <c r="H99" s="68"/>
      <c r="I99" s="68"/>
    </row>
    <row r="100" spans="2:10" s="53" customFormat="1" ht="19.8" customHeight="1">
      <c r="B100" s="2179"/>
      <c r="C100" s="2176"/>
      <c r="D100" s="1729">
        <v>1.0072764665830001</v>
      </c>
      <c r="E100" s="1621" t="s">
        <v>746</v>
      </c>
      <c r="F100" s="1640" t="s">
        <v>2534</v>
      </c>
      <c r="G100" s="1616"/>
      <c r="H100" s="68"/>
      <c r="I100" s="68"/>
      <c r="J100" s="2187"/>
    </row>
    <row r="101" spans="2:10" s="53" customFormat="1" ht="19.8" customHeight="1">
      <c r="B101" s="1637" t="s">
        <v>252</v>
      </c>
      <c r="C101" s="2256" t="s">
        <v>1976</v>
      </c>
      <c r="D101" s="1606">
        <f>D99*POWER(D17,2)</f>
        <v>1.5032774240354628E-10</v>
      </c>
      <c r="E101" s="1679" t="s">
        <v>36</v>
      </c>
      <c r="F101" s="1640"/>
      <c r="G101" s="1616"/>
      <c r="H101" s="68"/>
      <c r="I101" s="68"/>
    </row>
    <row r="102" spans="2:10" s="53" customFormat="1" ht="19.8" customHeight="1">
      <c r="B102" s="1685"/>
      <c r="C102" s="1611"/>
      <c r="D102" s="1606">
        <f>D101*D112</f>
        <v>938272257.81690049</v>
      </c>
      <c r="E102" s="1677" t="s">
        <v>179</v>
      </c>
      <c r="F102" s="1638"/>
      <c r="G102" s="1616"/>
      <c r="H102" s="68"/>
      <c r="I102" s="68"/>
      <c r="J102" s="2187"/>
    </row>
    <row r="103" spans="2:10" s="53" customFormat="1" ht="19.8" customHeight="1">
      <c r="B103" s="1685"/>
      <c r="C103" s="1589"/>
      <c r="D103" s="1604">
        <f>D102/1000/1000</f>
        <v>938.27225781690049</v>
      </c>
      <c r="E103" s="1677" t="s">
        <v>629</v>
      </c>
      <c r="F103" s="1640"/>
      <c r="G103" s="1616"/>
      <c r="H103" s="68"/>
      <c r="I103" s="68"/>
    </row>
    <row r="104" spans="2:10" s="53" customFormat="1" ht="19.8" customHeight="1" thickBot="1">
      <c r="B104" s="1687"/>
      <c r="C104" s="1678"/>
      <c r="D104" s="1715" t="s">
        <v>1989</v>
      </c>
      <c r="E104" s="1680"/>
      <c r="F104" s="1689"/>
      <c r="G104" s="1616"/>
      <c r="H104" s="68"/>
      <c r="I104" s="68"/>
      <c r="J104" s="2187"/>
    </row>
    <row r="105" spans="2:10" s="53" customFormat="1" ht="19.8" customHeight="1" thickTop="1" thickBot="1">
      <c r="B105" s="1690" t="s">
        <v>254</v>
      </c>
      <c r="C105" s="2257" t="s">
        <v>1977</v>
      </c>
      <c r="D105" s="2102">
        <v>1.6749272800000002E-27</v>
      </c>
      <c r="E105" s="1672" t="s">
        <v>11</v>
      </c>
      <c r="F105" s="1645"/>
      <c r="G105" s="1616"/>
      <c r="H105" s="68"/>
      <c r="I105" s="68"/>
    </row>
    <row r="106" spans="2:10" s="53" customFormat="1" ht="19.8" customHeight="1" thickTop="1">
      <c r="B106" s="1649" t="s">
        <v>253</v>
      </c>
      <c r="C106" s="1683" t="s">
        <v>1978</v>
      </c>
      <c r="D106" s="1681">
        <f>D105*POWER(D17,2)</f>
        <v>1.5053495670130483E-10</v>
      </c>
      <c r="E106" s="1610" t="s">
        <v>36</v>
      </c>
      <c r="F106" s="1638"/>
      <c r="G106" s="1616"/>
      <c r="H106" s="68"/>
      <c r="I106" s="68"/>
    </row>
    <row r="107" spans="2:10" s="53" customFormat="1" ht="19.8" customHeight="1">
      <c r="B107" s="1685"/>
      <c r="C107" s="1597"/>
      <c r="D107" s="1681">
        <f>D106*D112</f>
        <v>939565588.13571787</v>
      </c>
      <c r="E107" s="1677" t="s">
        <v>179</v>
      </c>
      <c r="F107" s="1686"/>
      <c r="G107" s="1616"/>
      <c r="H107" s="68"/>
      <c r="I107" s="68"/>
    </row>
    <row r="108" spans="2:10" s="53" customFormat="1" ht="19.8" customHeight="1">
      <c r="B108" s="1685"/>
      <c r="C108" s="1589"/>
      <c r="D108" s="1682">
        <f>D107/1000/1000</f>
        <v>939.56558813571792</v>
      </c>
      <c r="E108" s="1677" t="s">
        <v>629</v>
      </c>
      <c r="F108" s="1686"/>
      <c r="G108" s="1616"/>
      <c r="H108" s="68"/>
      <c r="I108" s="68"/>
    </row>
    <row r="109" spans="2:10" s="53" customFormat="1" ht="19.8" customHeight="1" thickBot="1">
      <c r="B109" s="1687"/>
      <c r="C109" s="1678"/>
      <c r="D109" s="1715" t="s">
        <v>1990</v>
      </c>
      <c r="E109" s="1680"/>
      <c r="F109" s="1688"/>
      <c r="G109" s="1616"/>
      <c r="H109" s="68"/>
      <c r="I109" s="68"/>
    </row>
    <row r="110" spans="2:10" s="70" customFormat="1" ht="19.8" customHeight="1" thickTop="1" thickBot="1">
      <c r="B110" s="2186" t="s">
        <v>2017</v>
      </c>
      <c r="C110" s="2181" t="s">
        <v>746</v>
      </c>
      <c r="D110" s="2182">
        <v>1.6605387820000001E-27</v>
      </c>
      <c r="E110" s="2183" t="s">
        <v>11</v>
      </c>
      <c r="F110" s="2184" t="s">
        <v>2527</v>
      </c>
      <c r="G110" s="1616"/>
      <c r="H110" s="69"/>
      <c r="I110" s="69"/>
    </row>
    <row r="111" spans="2:10" s="70" customFormat="1" ht="16.2" customHeight="1" thickTop="1">
      <c r="B111" s="2200" t="s">
        <v>2530</v>
      </c>
      <c r="C111" s="2188" t="s">
        <v>2529</v>
      </c>
      <c r="D111" s="2189">
        <v>1.6605387820000001E-27</v>
      </c>
      <c r="E111" s="2188" t="s">
        <v>11</v>
      </c>
      <c r="F111" s="2201"/>
      <c r="G111" s="1616"/>
      <c r="H111" s="69"/>
      <c r="I111" s="69"/>
    </row>
    <row r="112" spans="2:10" s="70" customFormat="1" ht="16.2" customHeight="1">
      <c r="B112" s="2190" t="s">
        <v>2531</v>
      </c>
      <c r="C112" s="2191" t="s">
        <v>2528</v>
      </c>
      <c r="D112" s="2189">
        <v>6.241511E+18</v>
      </c>
      <c r="E112" s="2192" t="s">
        <v>179</v>
      </c>
      <c r="F112" s="2193"/>
      <c r="G112" s="1616"/>
      <c r="H112" s="69"/>
      <c r="I112" s="69"/>
    </row>
    <row r="113" spans="2:9" s="53" customFormat="1" ht="16.2" customHeight="1" thickBot="1">
      <c r="B113" s="2194" t="s">
        <v>2532</v>
      </c>
      <c r="C113" s="2195" t="s">
        <v>630</v>
      </c>
      <c r="D113" s="2196">
        <v>1.602176E-19</v>
      </c>
      <c r="E113" s="2197" t="s">
        <v>631</v>
      </c>
      <c r="F113" s="2198"/>
      <c r="G113" s="1616"/>
      <c r="H113" s="68"/>
      <c r="I113" s="68"/>
    </row>
    <row r="114" spans="2:9" s="53" customFormat="1" ht="15.6">
      <c r="B114" s="1674"/>
      <c r="C114" s="1675"/>
      <c r="D114" s="1676"/>
      <c r="E114" s="1676"/>
      <c r="F114" s="82"/>
      <c r="G114" s="1616"/>
      <c r="H114" s="10"/>
      <c r="I114" s="68"/>
    </row>
    <row r="115" spans="2:9" s="70" customFormat="1" ht="13.8">
      <c r="B115" s="701"/>
      <c r="C115" s="1673"/>
      <c r="D115" s="701"/>
      <c r="E115" s="701"/>
      <c r="F115" s="1673"/>
      <c r="G115" s="1616"/>
      <c r="H115" s="69"/>
      <c r="I115" s="69"/>
    </row>
    <row r="116" spans="2:9" s="70" customFormat="1" ht="13.8">
      <c r="B116" s="958"/>
      <c r="C116" s="958"/>
      <c r="D116" s="69"/>
      <c r="E116" s="69"/>
      <c r="G116" s="1616"/>
      <c r="H116" s="69"/>
      <c r="I116" s="69"/>
    </row>
    <row r="117" spans="2:9" s="3" customFormat="1" ht="13.8">
      <c r="B117" s="627"/>
      <c r="C117" s="627"/>
      <c r="D117" s="19"/>
      <c r="E117" s="19"/>
      <c r="G117" s="1618"/>
      <c r="H117" s="19"/>
      <c r="I117" s="19"/>
    </row>
    <row r="118" spans="2:9" s="3" customFormat="1" ht="13.8">
      <c r="B118" s="627"/>
      <c r="C118" s="627"/>
      <c r="D118" s="19"/>
      <c r="E118" s="19"/>
      <c r="G118" s="1618"/>
      <c r="H118" s="19"/>
      <c r="I118" s="19"/>
    </row>
    <row r="119" spans="2:9" s="3" customFormat="1" ht="13.8">
      <c r="C119" s="627"/>
      <c r="D119" s="19"/>
      <c r="E119" s="19"/>
      <c r="G119" s="1618"/>
      <c r="H119" s="19"/>
      <c r="I119" s="19"/>
    </row>
    <row r="120" spans="2:9" s="3" customFormat="1" ht="13.8">
      <c r="B120" s="19"/>
      <c r="C120" s="627"/>
      <c r="D120" s="19"/>
      <c r="E120" s="19"/>
      <c r="G120" s="1618"/>
      <c r="H120" s="19"/>
      <c r="I120" s="19"/>
    </row>
    <row r="121" spans="2:9" s="3" customFormat="1" ht="13.8">
      <c r="B121" s="19"/>
      <c r="C121" s="627"/>
      <c r="D121" s="19"/>
      <c r="E121" s="19"/>
      <c r="G121" s="1618"/>
      <c r="H121" s="19"/>
      <c r="I121" s="19"/>
    </row>
    <row r="122" spans="2:9" s="3" customFormat="1" ht="13.8">
      <c r="B122" s="19"/>
      <c r="C122" s="627"/>
      <c r="D122" s="19"/>
      <c r="E122" s="19"/>
      <c r="G122" s="1618"/>
      <c r="H122" s="19"/>
      <c r="I122" s="19"/>
    </row>
    <row r="123" spans="2:9" s="3" customFormat="1" ht="13.8">
      <c r="B123" s="19"/>
      <c r="C123" s="627"/>
      <c r="D123" s="19"/>
      <c r="E123" s="19"/>
      <c r="G123" s="1618"/>
      <c r="H123" s="19"/>
      <c r="I123" s="19"/>
    </row>
    <row r="124" spans="2:9" s="3" customFormat="1" ht="13.8">
      <c r="B124" s="19"/>
      <c r="C124" s="627"/>
      <c r="D124" s="19"/>
      <c r="E124" s="19"/>
      <c r="G124" s="1618"/>
      <c r="H124" s="19"/>
      <c r="I124" s="19"/>
    </row>
    <row r="125" spans="2:9" s="3" customFormat="1" ht="13.8">
      <c r="B125" s="19"/>
      <c r="C125" s="627"/>
      <c r="D125" s="19"/>
      <c r="E125" s="19"/>
      <c r="G125" s="1618"/>
      <c r="H125" s="19"/>
      <c r="I125" s="19"/>
    </row>
    <row r="126" spans="2:9" s="3" customFormat="1" ht="13.8">
      <c r="B126" s="19"/>
      <c r="C126" s="627"/>
      <c r="D126" s="19"/>
      <c r="E126" s="19"/>
      <c r="G126" s="1618"/>
      <c r="H126" s="19"/>
      <c r="I126" s="19"/>
    </row>
    <row r="127" spans="2:9" s="3" customFormat="1" ht="13.8">
      <c r="B127" s="19"/>
      <c r="C127" s="627"/>
      <c r="D127" s="19"/>
      <c r="E127" s="19"/>
      <c r="G127" s="1618"/>
      <c r="H127" s="19"/>
      <c r="I127" s="19"/>
    </row>
    <row r="128" spans="2:9" s="3" customFormat="1" ht="13.8">
      <c r="B128" s="19"/>
      <c r="C128" s="627"/>
      <c r="D128" s="19"/>
      <c r="E128" s="19"/>
      <c r="G128" s="1618"/>
      <c r="H128" s="19"/>
      <c r="I128" s="19"/>
    </row>
    <row r="129" spans="2:9" s="3" customFormat="1" ht="13.8">
      <c r="B129" s="19"/>
      <c r="C129" s="627"/>
      <c r="D129" s="19"/>
      <c r="E129" s="19"/>
      <c r="G129" s="1618"/>
      <c r="H129" s="19"/>
      <c r="I129" s="19"/>
    </row>
    <row r="130" spans="2:9" s="3" customFormat="1" ht="13.8">
      <c r="B130" s="19"/>
      <c r="C130" s="627"/>
      <c r="D130" s="19"/>
      <c r="E130" s="19"/>
      <c r="G130" s="1618"/>
      <c r="H130" s="19"/>
      <c r="I130" s="19"/>
    </row>
    <row r="131" spans="2:9" s="3" customFormat="1" ht="13.8">
      <c r="B131" s="19"/>
      <c r="C131" s="627"/>
      <c r="D131" s="19"/>
      <c r="E131" s="19"/>
      <c r="G131" s="1618"/>
      <c r="H131" s="19"/>
      <c r="I131" s="19"/>
    </row>
    <row r="132" spans="2:9" s="3" customFormat="1" ht="13.8">
      <c r="B132" s="19"/>
      <c r="C132" s="627"/>
      <c r="D132" s="19"/>
      <c r="E132" s="19"/>
      <c r="G132" s="1618"/>
      <c r="H132" s="19"/>
      <c r="I132" s="19"/>
    </row>
    <row r="133" spans="2:9" s="3" customFormat="1" ht="13.8">
      <c r="B133" s="19"/>
      <c r="C133" s="627"/>
      <c r="D133" s="19"/>
      <c r="E133" s="19"/>
      <c r="G133" s="1618"/>
      <c r="H133" s="19"/>
      <c r="I133" s="19"/>
    </row>
    <row r="134" spans="2:9" s="3" customFormat="1" ht="13.8">
      <c r="B134" s="19"/>
      <c r="C134" s="627"/>
      <c r="D134" s="19"/>
      <c r="E134" s="19"/>
      <c r="G134" s="1618"/>
      <c r="H134" s="19"/>
      <c r="I134" s="19"/>
    </row>
    <row r="135" spans="2:9" s="3" customFormat="1" ht="13.8">
      <c r="B135" s="19"/>
      <c r="C135" s="627"/>
      <c r="D135" s="19"/>
      <c r="E135" s="19"/>
      <c r="G135" s="1618"/>
      <c r="H135" s="19"/>
      <c r="I135" s="19"/>
    </row>
    <row r="136" spans="2:9" s="3" customFormat="1" ht="13.8">
      <c r="B136" s="19"/>
      <c r="C136" s="627"/>
      <c r="D136" s="19"/>
      <c r="E136" s="19"/>
      <c r="G136" s="1618"/>
      <c r="H136" s="19"/>
      <c r="I136" s="19"/>
    </row>
    <row r="137" spans="2:9" s="3" customFormat="1" ht="13.8">
      <c r="B137" s="19"/>
      <c r="C137" s="627"/>
      <c r="D137" s="19"/>
      <c r="E137" s="19"/>
      <c r="G137" s="1618"/>
      <c r="H137" s="19"/>
      <c r="I137" s="19"/>
    </row>
    <row r="138" spans="2:9" s="3" customFormat="1" ht="13.8">
      <c r="B138" s="19"/>
      <c r="C138" s="627"/>
      <c r="D138" s="19"/>
      <c r="E138" s="19"/>
      <c r="G138" s="935"/>
      <c r="H138" s="19"/>
      <c r="I138" s="19"/>
    </row>
    <row r="139" spans="2:9" s="3" customFormat="1" ht="13.8">
      <c r="B139" s="19"/>
      <c r="C139" s="627"/>
      <c r="D139" s="19"/>
      <c r="E139" s="19"/>
      <c r="G139" s="935"/>
      <c r="H139" s="19"/>
      <c r="I139" s="19"/>
    </row>
    <row r="140" spans="2:9" s="3" customFormat="1" ht="13.8">
      <c r="B140" s="19"/>
      <c r="C140" s="627"/>
      <c r="D140" s="19"/>
      <c r="E140" s="19"/>
      <c r="G140" s="935"/>
      <c r="H140" s="19"/>
      <c r="I140" s="19"/>
    </row>
    <row r="141" spans="2:9" s="3" customFormat="1" ht="13.8">
      <c r="B141" s="19"/>
      <c r="C141" s="627"/>
      <c r="D141" s="19"/>
      <c r="E141" s="19"/>
      <c r="G141" s="935"/>
      <c r="H141" s="19"/>
      <c r="I141" s="19"/>
    </row>
  </sheetData>
  <sheetProtection password="CEBA" sheet="1" objects="1" scenarios="1"/>
  <hyperlinks>
    <hyperlink ref="C8" r:id="rId1"/>
    <hyperlink ref="C12" r:id="rId2"/>
    <hyperlink ref="C21" r:id="rId3"/>
    <hyperlink ref="C24" r:id="rId4"/>
    <hyperlink ref="C46" r:id="rId5"/>
    <hyperlink ref="F3" r:id="rId6" display="Stellarium öffnen"/>
    <hyperlink ref="F4" r:id="rId7"/>
  </hyperlinks>
  <pageMargins left="0" right="0" top="0" bottom="0" header="0" footer="0"/>
  <pageSetup paperSize="9" orientation="landscape" r:id="rId8"/>
  <rowBreaks count="3" manualBreakCount="3">
    <brk id="28" max="16383" man="1"/>
    <brk id="56" max="16383" man="1"/>
    <brk id="84" max="16383" man="1"/>
  </rowBreaks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zoomScaleNormal="100" workbookViewId="0">
      <selection activeCell="O12" sqref="O12"/>
    </sheetView>
  </sheetViews>
  <sheetFormatPr baseColWidth="10" defaultRowHeight="14.4"/>
  <cols>
    <col min="1" max="1" width="1.44140625" customWidth="1"/>
    <col min="2" max="2" width="9.44140625" customWidth="1"/>
    <col min="3" max="4" width="16.88671875" customWidth="1"/>
    <col min="5" max="6" width="16.88671875" style="8" customWidth="1"/>
    <col min="7" max="7" width="16.88671875" customWidth="1"/>
    <col min="8" max="8" width="16.88671875" style="3" customWidth="1"/>
    <col min="9" max="9" width="16.88671875" customWidth="1"/>
    <col min="10" max="10" width="14.109375" customWidth="1"/>
    <col min="11" max="11" width="1.21875" customWidth="1"/>
    <col min="14" max="14" width="11.44140625" style="10"/>
  </cols>
  <sheetData>
    <row r="1" spans="1:14" ht="15.6">
      <c r="A1" s="500"/>
      <c r="B1" s="391"/>
      <c r="C1" s="391"/>
      <c r="D1" s="391"/>
      <c r="E1" s="546"/>
      <c r="F1" s="546"/>
      <c r="G1" s="391"/>
      <c r="H1" s="391"/>
      <c r="I1" s="391"/>
      <c r="J1" s="391"/>
      <c r="K1" s="487" t="s">
        <v>577</v>
      </c>
      <c r="N1" s="876"/>
    </row>
    <row r="2" spans="1:14" ht="15.6">
      <c r="A2" s="414"/>
      <c r="B2" s="107"/>
      <c r="C2" s="139" t="s">
        <v>122</v>
      </c>
      <c r="D2" s="488" t="s">
        <v>1170</v>
      </c>
      <c r="E2" s="520"/>
      <c r="F2" s="520"/>
      <c r="G2" s="107"/>
      <c r="H2" s="99"/>
      <c r="I2" s="107"/>
      <c r="J2" s="27"/>
      <c r="K2" s="417"/>
    </row>
    <row r="3" spans="1:14">
      <c r="A3" s="414"/>
      <c r="B3" s="99"/>
      <c r="C3" s="100"/>
      <c r="D3" s="489" t="s">
        <v>1400</v>
      </c>
      <c r="E3" s="111"/>
      <c r="F3" s="111"/>
      <c r="G3" s="100"/>
      <c r="H3" s="100"/>
      <c r="I3" s="100"/>
      <c r="J3" s="107"/>
      <c r="K3" s="417"/>
    </row>
    <row r="4" spans="1:14" s="3" customFormat="1">
      <c r="A4" s="394"/>
      <c r="B4" s="99"/>
      <c r="C4" s="99"/>
      <c r="D4" s="489" t="s">
        <v>1376</v>
      </c>
      <c r="E4" s="520"/>
      <c r="F4" s="520"/>
      <c r="G4" s="106"/>
      <c r="H4" s="100"/>
      <c r="I4" s="106"/>
      <c r="J4" s="99"/>
      <c r="K4" s="490"/>
      <c r="N4" s="19"/>
    </row>
    <row r="5" spans="1:14" s="3" customFormat="1" ht="15" customHeight="1">
      <c r="A5" s="394"/>
      <c r="B5" s="99"/>
      <c r="C5" s="99"/>
      <c r="D5" s="491" t="s">
        <v>2970</v>
      </c>
      <c r="E5" s="111"/>
      <c r="F5" s="111"/>
      <c r="G5" s="99"/>
      <c r="H5" s="99"/>
      <c r="I5" s="99"/>
      <c r="J5" s="99"/>
      <c r="K5" s="490"/>
      <c r="N5" s="19"/>
    </row>
    <row r="6" spans="1:14" s="3" customFormat="1" ht="13.8">
      <c r="A6" s="394"/>
      <c r="B6" s="99"/>
      <c r="C6" s="99"/>
      <c r="D6" s="904" t="s">
        <v>1377</v>
      </c>
      <c r="E6" s="111"/>
      <c r="F6" s="111"/>
      <c r="G6" s="99"/>
      <c r="H6" s="99"/>
      <c r="I6" s="99"/>
      <c r="J6" s="99"/>
      <c r="K6" s="770"/>
      <c r="N6" s="19"/>
    </row>
    <row r="7" spans="1:14" s="3" customFormat="1" ht="16.5" customHeight="1">
      <c r="A7" s="394"/>
      <c r="B7" s="492"/>
      <c r="C7" s="587" t="s">
        <v>250</v>
      </c>
      <c r="D7" s="491" t="s">
        <v>1816</v>
      </c>
      <c r="E7" s="506"/>
      <c r="F7" s="506"/>
      <c r="G7" s="326"/>
      <c r="H7" s="326"/>
      <c r="I7" s="326"/>
      <c r="J7" s="99"/>
      <c r="K7" s="417"/>
      <c r="N7" s="19"/>
    </row>
    <row r="8" spans="1:14" s="70" customFormat="1">
      <c r="A8" s="329"/>
      <c r="B8" s="122"/>
      <c r="C8" s="122"/>
      <c r="D8" s="273"/>
      <c r="E8" s="111"/>
      <c r="F8" s="111"/>
      <c r="G8" s="99"/>
      <c r="H8" s="99"/>
      <c r="I8" s="99"/>
      <c r="J8" s="108"/>
      <c r="K8" s="331"/>
      <c r="N8" s="69"/>
    </row>
    <row r="9" spans="1:14" s="3" customFormat="1" ht="12.75" customHeight="1">
      <c r="A9" s="394"/>
      <c r="B9" s="99"/>
      <c r="C9" s="106"/>
      <c r="D9" s="105" t="s">
        <v>3</v>
      </c>
      <c r="E9" s="520"/>
      <c r="F9" s="520"/>
      <c r="G9" s="100"/>
      <c r="H9" s="105" t="s">
        <v>329</v>
      </c>
      <c r="I9" s="100"/>
      <c r="J9" s="99"/>
      <c r="K9" s="417"/>
      <c r="N9" s="19"/>
    </row>
    <row r="10" spans="1:14" s="3" customFormat="1" ht="13.8">
      <c r="A10" s="394"/>
      <c r="B10" s="99"/>
      <c r="C10" s="111" t="s">
        <v>330</v>
      </c>
      <c r="D10" s="1104">
        <v>299792.45799999998</v>
      </c>
      <c r="E10" s="110" t="s">
        <v>1018</v>
      </c>
      <c r="F10" s="111"/>
      <c r="G10" s="111" t="s">
        <v>170</v>
      </c>
      <c r="H10" s="1103">
        <v>299792.45799999998</v>
      </c>
      <c r="I10" s="110" t="s">
        <v>684</v>
      </c>
      <c r="J10" s="99"/>
      <c r="K10" s="771"/>
      <c r="N10" s="19"/>
    </row>
    <row r="11" spans="1:14" s="3" customFormat="1">
      <c r="A11" s="394"/>
      <c r="B11" s="107"/>
      <c r="C11" s="100"/>
      <c r="D11" s="100"/>
      <c r="E11" s="111"/>
      <c r="F11" s="111"/>
      <c r="G11" s="99"/>
      <c r="H11" s="99"/>
      <c r="I11" s="99"/>
      <c r="J11" s="99"/>
      <c r="K11" s="490"/>
      <c r="N11" s="19"/>
    </row>
    <row r="12" spans="1:14" s="3" customFormat="1" ht="15.6">
      <c r="A12" s="394"/>
      <c r="B12" s="938" t="s">
        <v>112</v>
      </c>
      <c r="C12" s="489" t="s">
        <v>2542</v>
      </c>
      <c r="D12" s="100"/>
      <c r="E12" s="111"/>
      <c r="F12" s="111"/>
      <c r="G12" s="100"/>
      <c r="H12" s="100"/>
      <c r="I12" s="122" t="s">
        <v>2541</v>
      </c>
      <c r="J12" s="124" t="s">
        <v>2060</v>
      </c>
      <c r="K12" s="772"/>
      <c r="N12" s="19"/>
    </row>
    <row r="13" spans="1:14" s="3" customFormat="1">
      <c r="A13" s="394"/>
      <c r="B13" s="111"/>
      <c r="C13" s="489" t="s">
        <v>2724</v>
      </c>
      <c r="D13" s="100"/>
      <c r="E13" s="111"/>
      <c r="F13" s="111"/>
      <c r="G13" s="100"/>
      <c r="H13" s="100"/>
      <c r="I13" s="99"/>
      <c r="J13" s="124" t="s">
        <v>2061</v>
      </c>
      <c r="K13" s="490"/>
      <c r="N13" s="19"/>
    </row>
    <row r="14" spans="1:14" s="3" customFormat="1">
      <c r="A14" s="394"/>
      <c r="B14" s="111"/>
      <c r="C14" s="491" t="s">
        <v>2546</v>
      </c>
      <c r="D14" s="100"/>
      <c r="E14" s="111"/>
      <c r="F14" s="111"/>
      <c r="G14" s="100"/>
      <c r="H14" s="100"/>
      <c r="I14" s="100"/>
      <c r="J14" s="124" t="s">
        <v>2062</v>
      </c>
      <c r="K14" s="771"/>
      <c r="M14"/>
      <c r="N14" s="19"/>
    </row>
    <row r="15" spans="1:14" s="3" customFormat="1">
      <c r="A15" s="394"/>
      <c r="B15" s="111"/>
      <c r="C15" s="491" t="s">
        <v>2127</v>
      </c>
      <c r="D15" s="100"/>
      <c r="E15" s="111"/>
      <c r="F15" s="111"/>
      <c r="G15" s="100"/>
      <c r="H15" s="100"/>
      <c r="I15" s="100"/>
      <c r="J15" s="124" t="s">
        <v>2063</v>
      </c>
      <c r="K15" s="773"/>
      <c r="N15" s="19"/>
    </row>
    <row r="16" spans="1:14" s="3" customFormat="1" ht="13.8">
      <c r="A16" s="394"/>
      <c r="B16" s="99"/>
      <c r="C16" s="99"/>
      <c r="D16" s="99"/>
      <c r="E16" s="99"/>
      <c r="F16" s="99"/>
      <c r="G16" s="99"/>
      <c r="H16" s="99"/>
      <c r="I16" s="99"/>
      <c r="J16" s="99"/>
      <c r="K16" s="771"/>
      <c r="N16" s="19"/>
    </row>
    <row r="17" spans="1:15" s="3" customFormat="1" ht="12.75" customHeight="1">
      <c r="A17" s="394"/>
      <c r="B17" s="26"/>
      <c r="C17" s="571" t="s">
        <v>1136</v>
      </c>
      <c r="D17" s="99"/>
      <c r="E17" s="1105"/>
      <c r="F17" s="1105"/>
      <c r="G17" s="105" t="s">
        <v>4</v>
      </c>
      <c r="H17" s="105"/>
      <c r="I17" s="494"/>
      <c r="J17" s="99"/>
      <c r="K17" s="490"/>
      <c r="M17"/>
      <c r="N17" s="19"/>
    </row>
    <row r="18" spans="1:15" s="3" customFormat="1">
      <c r="A18" s="394"/>
      <c r="B18" s="351"/>
      <c r="C18" s="1165" t="s">
        <v>1322</v>
      </c>
      <c r="D18" s="99"/>
      <c r="E18" s="922" t="s">
        <v>1576</v>
      </c>
      <c r="F18" s="922" t="s">
        <v>1576</v>
      </c>
      <c r="G18" s="127" t="s">
        <v>794</v>
      </c>
      <c r="H18" s="922" t="s">
        <v>1812</v>
      </c>
      <c r="I18" s="127" t="s">
        <v>1814</v>
      </c>
      <c r="J18" s="759"/>
      <c r="K18" s="417"/>
      <c r="N18"/>
    </row>
    <row r="19" spans="1:15" s="70" customFormat="1">
      <c r="A19" s="329"/>
      <c r="B19" s="108"/>
      <c r="C19" s="1165" t="s">
        <v>1325</v>
      </c>
      <c r="D19" s="108"/>
      <c r="E19" s="102" t="s">
        <v>1577</v>
      </c>
      <c r="F19" s="102" t="s">
        <v>1579</v>
      </c>
      <c r="G19" s="103" t="s">
        <v>2547</v>
      </c>
      <c r="H19" s="102" t="s">
        <v>1813</v>
      </c>
      <c r="I19" s="103" t="s">
        <v>1813</v>
      </c>
      <c r="J19" s="103" t="s">
        <v>2880</v>
      </c>
      <c r="K19" s="493"/>
      <c r="M19"/>
      <c r="N19"/>
      <c r="O19" s="1125"/>
    </row>
    <row r="20" spans="1:15" s="70" customFormat="1" ht="15.6">
      <c r="A20" s="329"/>
      <c r="B20" s="108"/>
      <c r="C20" s="1277" t="s">
        <v>1323</v>
      </c>
      <c r="D20" s="108"/>
      <c r="E20" s="102" t="s">
        <v>171</v>
      </c>
      <c r="F20" s="102" t="s">
        <v>1578</v>
      </c>
      <c r="G20" s="103" t="s">
        <v>1581</v>
      </c>
      <c r="H20" s="102" t="s">
        <v>793</v>
      </c>
      <c r="I20" s="103" t="s">
        <v>793</v>
      </c>
      <c r="J20" s="103"/>
      <c r="K20" s="774"/>
      <c r="M20"/>
      <c r="N20"/>
      <c r="O20"/>
    </row>
    <row r="21" spans="1:15" s="70" customFormat="1">
      <c r="A21" s="329"/>
      <c r="B21" s="108"/>
      <c r="C21" s="1277" t="s">
        <v>1324</v>
      </c>
      <c r="D21" s="108"/>
      <c r="E21" s="102" t="s">
        <v>306</v>
      </c>
      <c r="F21" s="102" t="s">
        <v>307</v>
      </c>
      <c r="G21" s="103" t="s">
        <v>1582</v>
      </c>
      <c r="H21" s="102" t="s">
        <v>792</v>
      </c>
      <c r="I21" s="103" t="s">
        <v>792</v>
      </c>
      <c r="J21" s="103" t="s">
        <v>775</v>
      </c>
      <c r="K21" s="417"/>
      <c r="M21"/>
      <c r="N21"/>
    </row>
    <row r="22" spans="1:15" s="70" customFormat="1">
      <c r="A22" s="329"/>
      <c r="B22" s="108"/>
      <c r="C22" s="1277" t="s">
        <v>2878</v>
      </c>
      <c r="D22" s="108"/>
      <c r="E22" s="102" t="s">
        <v>552</v>
      </c>
      <c r="F22" s="102" t="s">
        <v>2128</v>
      </c>
      <c r="G22" s="103" t="s">
        <v>1580</v>
      </c>
      <c r="H22" s="102" t="s">
        <v>898</v>
      </c>
      <c r="I22" s="103" t="s">
        <v>898</v>
      </c>
      <c r="J22" s="103" t="s">
        <v>590</v>
      </c>
      <c r="K22" s="493"/>
      <c r="M22" s="1151"/>
      <c r="N22"/>
    </row>
    <row r="23" spans="1:15" s="70" customFormat="1">
      <c r="A23" s="329"/>
      <c r="B23" s="108"/>
      <c r="C23" s="1277" t="s">
        <v>2879</v>
      </c>
      <c r="D23" s="108"/>
      <c r="E23" s="880" t="s">
        <v>900</v>
      </c>
      <c r="F23" s="880" t="s">
        <v>900</v>
      </c>
      <c r="G23" s="104" t="s">
        <v>791</v>
      </c>
      <c r="H23" s="880" t="s">
        <v>899</v>
      </c>
      <c r="I23" s="104" t="s">
        <v>899</v>
      </c>
      <c r="J23" s="104"/>
      <c r="K23" s="493"/>
      <c r="M23"/>
      <c r="N23"/>
      <c r="O23"/>
    </row>
    <row r="24" spans="1:15" s="70" customFormat="1" ht="15" customHeight="1">
      <c r="A24" s="329"/>
      <c r="B24" s="105"/>
      <c r="C24" s="100"/>
      <c r="D24" s="105"/>
      <c r="E24" s="111"/>
      <c r="F24" s="520"/>
      <c r="G24" s="100"/>
      <c r="H24" s="100"/>
      <c r="I24" s="100"/>
      <c r="J24" s="509"/>
      <c r="K24" s="417"/>
      <c r="L24"/>
      <c r="M24"/>
      <c r="N24" s="69"/>
    </row>
    <row r="25" spans="1:15" s="3" customFormat="1" ht="18" customHeight="1">
      <c r="A25" s="394"/>
      <c r="B25" s="105"/>
      <c r="C25" s="325" t="s">
        <v>3</v>
      </c>
      <c r="D25" s="105"/>
      <c r="E25" s="1776" t="s">
        <v>117</v>
      </c>
      <c r="F25" s="1776" t="s">
        <v>118</v>
      </c>
      <c r="G25" s="1776" t="s">
        <v>119</v>
      </c>
      <c r="H25" s="1776" t="s">
        <v>721</v>
      </c>
      <c r="I25" s="1776" t="s">
        <v>725</v>
      </c>
      <c r="J25" s="99"/>
      <c r="K25" s="490"/>
      <c r="N25" s="19"/>
    </row>
    <row r="26" spans="1:15" s="3" customFormat="1">
      <c r="A26" s="394"/>
      <c r="B26" s="100" t="s">
        <v>789</v>
      </c>
      <c r="C26" s="638"/>
      <c r="D26" s="100" t="s">
        <v>2544</v>
      </c>
      <c r="E26" s="111"/>
      <c r="F26" s="520"/>
      <c r="G26" s="100"/>
      <c r="H26" s="100"/>
      <c r="I26" s="100"/>
      <c r="J26" s="109"/>
      <c r="K26" s="490"/>
      <c r="M26"/>
      <c r="N26" s="19"/>
    </row>
    <row r="27" spans="1:15" s="3" customFormat="1">
      <c r="A27" s="394"/>
      <c r="B27" s="109" t="s">
        <v>790</v>
      </c>
      <c r="C27" s="100" t="s">
        <v>2545</v>
      </c>
      <c r="D27" s="100" t="s">
        <v>2543</v>
      </c>
      <c r="E27" s="111"/>
      <c r="F27" s="1160"/>
      <c r="G27" s="131"/>
      <c r="H27" s="100"/>
      <c r="I27" s="100"/>
      <c r="J27" s="760"/>
      <c r="K27" s="417"/>
      <c r="M27"/>
      <c r="N27" s="19"/>
    </row>
    <row r="28" spans="1:15" s="3" customFormat="1">
      <c r="A28" s="394"/>
      <c r="B28" s="769"/>
      <c r="C28" s="757"/>
      <c r="D28" s="757"/>
      <c r="E28" s="756"/>
      <c r="F28" s="923"/>
      <c r="G28" s="756"/>
      <c r="H28" s="869"/>
      <c r="I28" s="761"/>
      <c r="J28" s="762"/>
      <c r="K28" s="417"/>
      <c r="N28" s="19"/>
    </row>
    <row r="29" spans="1:15" s="3" customFormat="1">
      <c r="A29" s="394"/>
      <c r="B29" s="108"/>
      <c r="C29" s="109" t="s">
        <v>589</v>
      </c>
      <c r="D29" s="109" t="s">
        <v>110</v>
      </c>
      <c r="E29" s="1051" t="s">
        <v>120</v>
      </c>
      <c r="F29" s="1051" t="s">
        <v>120</v>
      </c>
      <c r="G29" s="109" t="s">
        <v>121</v>
      </c>
      <c r="H29" s="109" t="s">
        <v>120</v>
      </c>
      <c r="I29" s="109" t="s">
        <v>111</v>
      </c>
      <c r="J29" s="326" t="s">
        <v>589</v>
      </c>
      <c r="K29" s="490"/>
      <c r="L29"/>
      <c r="M29"/>
      <c r="N29" s="19"/>
    </row>
    <row r="30" spans="1:15" s="70" customFormat="1" ht="16.5" customHeight="1">
      <c r="A30" s="329"/>
      <c r="B30" s="1348" t="s">
        <v>113</v>
      </c>
      <c r="C30" s="1349">
        <v>0.99990000000000001</v>
      </c>
      <c r="D30" s="1430">
        <f>C30*H10</f>
        <v>299762.47875419998</v>
      </c>
      <c r="E30" s="1431">
        <f>D10/D30</f>
        <v>1.000100010001</v>
      </c>
      <c r="F30" s="1431">
        <f t="shared" ref="F30:F36" si="0">E30/J30</f>
        <v>1.4143196385556828E-2</v>
      </c>
      <c r="G30" s="1432">
        <f>D10/J30</f>
        <v>4239.5996060419575</v>
      </c>
      <c r="H30" s="1433">
        <f t="shared" ref="H30:H36" si="1">E30-F30</f>
        <v>0.98595681361544318</v>
      </c>
      <c r="I30" s="1434">
        <f>H30*100/E30</f>
        <v>98.585821793408172</v>
      </c>
      <c r="J30" s="1435">
        <f t="shared" ref="J30:J36" si="2">1/(SQRT(1-((POWER(C30,2)))))</f>
        <v>70.712445951914518</v>
      </c>
      <c r="K30" s="493"/>
      <c r="N30" s="69"/>
    </row>
    <row r="31" spans="1:15" s="3" customFormat="1" ht="16.5" customHeight="1">
      <c r="A31" s="394"/>
      <c r="B31" s="332" t="s">
        <v>114</v>
      </c>
      <c r="C31" s="1350">
        <v>0.999</v>
      </c>
      <c r="D31" s="1436">
        <f>C31*H10</f>
        <v>299492.66554199997</v>
      </c>
      <c r="E31" s="1437">
        <f>D10/D31</f>
        <v>1.0010010010010011</v>
      </c>
      <c r="F31" s="1437">
        <f t="shared" si="0"/>
        <v>4.4754932744960979E-2</v>
      </c>
      <c r="G31" s="1438">
        <f>D10/J31</f>
        <v>13403.774103941301</v>
      </c>
      <c r="H31" s="1439">
        <f t="shared" si="1"/>
        <v>0.95624606825604008</v>
      </c>
      <c r="I31" s="1440">
        <f t="shared" ref="I31:I36" si="3">H31*100/E31</f>
        <v>95.528982218778395</v>
      </c>
      <c r="J31" s="1441">
        <f t="shared" si="2"/>
        <v>22.366272042129371</v>
      </c>
      <c r="K31" s="417"/>
      <c r="M31"/>
      <c r="N31" s="19"/>
    </row>
    <row r="32" spans="1:15" s="3" customFormat="1" ht="16.5" customHeight="1">
      <c r="A32" s="394"/>
      <c r="B32" s="332" t="s">
        <v>115</v>
      </c>
      <c r="C32" s="1350">
        <v>0.99</v>
      </c>
      <c r="D32" s="1436">
        <f>C32*H10</f>
        <v>296794.53341999999</v>
      </c>
      <c r="E32" s="1437">
        <f>D10/D32</f>
        <v>1.0101010101010102</v>
      </c>
      <c r="F32" s="1437">
        <f t="shared" si="0"/>
        <v>0.14249228262288782</v>
      </c>
      <c r="G32" s="1438">
        <f>D10/J32</f>
        <v>42290.930537010761</v>
      </c>
      <c r="H32" s="1439">
        <f t="shared" si="1"/>
        <v>0.86760872747812234</v>
      </c>
      <c r="I32" s="1440">
        <f t="shared" si="3"/>
        <v>85.893264020334101</v>
      </c>
      <c r="J32" s="1441">
        <f t="shared" si="2"/>
        <v>7.0888120500833542</v>
      </c>
      <c r="K32" s="417"/>
      <c r="L32" s="23"/>
      <c r="N32"/>
    </row>
    <row r="33" spans="1:14" s="3" customFormat="1" ht="16.5" customHeight="1">
      <c r="A33" s="394"/>
      <c r="B33" s="332" t="s">
        <v>116</v>
      </c>
      <c r="C33" s="1350">
        <v>0.86602539999999995</v>
      </c>
      <c r="D33" s="1436">
        <f>C33*H10</f>
        <v>259627.88335643316</v>
      </c>
      <c r="E33" s="1437">
        <f>D10/D33</f>
        <v>1.1547005434251698</v>
      </c>
      <c r="F33" s="1437">
        <f t="shared" si="0"/>
        <v>0.57735027928146232</v>
      </c>
      <c r="G33" s="1438">
        <f>D10/J33</f>
        <v>149896.23096509161</v>
      </c>
      <c r="H33" s="1439">
        <f t="shared" si="1"/>
        <v>0.57735026414370749</v>
      </c>
      <c r="I33" s="1440">
        <f t="shared" si="3"/>
        <v>49.999999344515992</v>
      </c>
      <c r="J33" s="1441">
        <f t="shared" si="2"/>
        <v>1.99999997378064</v>
      </c>
      <c r="K33" s="490"/>
      <c r="N33" s="19"/>
    </row>
    <row r="34" spans="1:14" s="3" customFormat="1" ht="16.5" customHeight="1">
      <c r="A34" s="394"/>
      <c r="B34" s="332" t="s">
        <v>117</v>
      </c>
      <c r="C34" s="1350">
        <v>0.5</v>
      </c>
      <c r="D34" s="1436">
        <f>C34*H10</f>
        <v>149896.22899999999</v>
      </c>
      <c r="E34" s="1437">
        <f>D10/D34</f>
        <v>2</v>
      </c>
      <c r="F34" s="1437">
        <f t="shared" si="0"/>
        <v>1.732050807568877</v>
      </c>
      <c r="G34" s="1438">
        <f>D10/J34</f>
        <v>259627.88449097931</v>
      </c>
      <c r="H34" s="1439">
        <f t="shared" si="1"/>
        <v>0.26794919243112303</v>
      </c>
      <c r="I34" s="1440">
        <f t="shared" si="3"/>
        <v>13.397459621556152</v>
      </c>
      <c r="J34" s="1441">
        <f t="shared" si="2"/>
        <v>1.1547005383792517</v>
      </c>
      <c r="K34" s="490"/>
      <c r="N34" s="19"/>
    </row>
    <row r="35" spans="1:14" s="3" customFormat="1" ht="16.5" customHeight="1">
      <c r="A35" s="394"/>
      <c r="B35" s="332" t="s">
        <v>118</v>
      </c>
      <c r="C35" s="1350">
        <v>0.1</v>
      </c>
      <c r="D35" s="1436">
        <f>C35*H10</f>
        <v>29979.245800000001</v>
      </c>
      <c r="E35" s="1437">
        <f>D10/D35</f>
        <v>10</v>
      </c>
      <c r="F35" s="1437">
        <f t="shared" si="0"/>
        <v>9.9498743710661994</v>
      </c>
      <c r="G35" s="1438">
        <f>D10/J35</f>
        <v>298289.72944931401</v>
      </c>
      <c r="H35" s="1439">
        <f t="shared" si="1"/>
        <v>5.012562893380057E-2</v>
      </c>
      <c r="I35" s="1440">
        <f t="shared" si="3"/>
        <v>0.5012562893380057</v>
      </c>
      <c r="J35" s="1441">
        <f t="shared" si="2"/>
        <v>1.0050378152592121</v>
      </c>
      <c r="K35" s="490"/>
      <c r="N35" s="19"/>
    </row>
    <row r="36" spans="1:14" s="3" customFormat="1" ht="16.5" customHeight="1">
      <c r="A36" s="394"/>
      <c r="B36" s="1351" t="s">
        <v>119</v>
      </c>
      <c r="C36" s="1352">
        <v>0.01</v>
      </c>
      <c r="D36" s="1442">
        <f>C36*H10</f>
        <v>2997.9245799999999</v>
      </c>
      <c r="E36" s="1443">
        <f>D10/D36</f>
        <v>100</v>
      </c>
      <c r="F36" s="1443">
        <f t="shared" si="0"/>
        <v>99.994999874993738</v>
      </c>
      <c r="G36" s="1444">
        <f>D10/J36</f>
        <v>299777.46800234064</v>
      </c>
      <c r="H36" s="1445">
        <f t="shared" si="1"/>
        <v>5.0001250062621239E-3</v>
      </c>
      <c r="I36" s="1446">
        <f t="shared" si="3"/>
        <v>5.0001250062621239E-3</v>
      </c>
      <c r="J36" s="1447">
        <f t="shared" si="2"/>
        <v>1.0000500037503126</v>
      </c>
      <c r="K36" s="490"/>
      <c r="N36" s="19"/>
    </row>
    <row r="37" spans="1:14" s="3" customFormat="1" ht="13.2" customHeight="1">
      <c r="A37" s="394"/>
      <c r="B37" s="2469" t="s">
        <v>271</v>
      </c>
      <c r="C37" s="2463" t="s">
        <v>2977</v>
      </c>
      <c r="D37" s="2464"/>
      <c r="E37" s="2465"/>
      <c r="F37" s="2465"/>
      <c r="G37" s="2464"/>
      <c r="H37" s="2465"/>
      <c r="I37" s="2466"/>
      <c r="J37" s="2467"/>
      <c r="K37" s="490"/>
      <c r="N37" s="19"/>
    </row>
    <row r="38" spans="1:14" s="3" customFormat="1" ht="13.2" customHeight="1">
      <c r="A38" s="496"/>
      <c r="B38" s="502"/>
      <c r="C38" s="2468" t="s">
        <v>2976</v>
      </c>
      <c r="D38" s="497"/>
      <c r="E38" s="553"/>
      <c r="F38" s="533"/>
      <c r="G38" s="497"/>
      <c r="H38" s="497"/>
      <c r="I38" s="497"/>
      <c r="J38" s="874"/>
      <c r="K38" s="499"/>
      <c r="N38" s="19"/>
    </row>
    <row r="39" spans="1:14" s="3" customFormat="1" ht="14.4" customHeight="1">
      <c r="A39" s="500"/>
      <c r="B39" s="2462"/>
      <c r="C39" s="391"/>
      <c r="D39" s="391"/>
      <c r="E39" s="391"/>
      <c r="F39" s="391"/>
      <c r="G39" s="878"/>
      <c r="H39" s="878"/>
      <c r="I39" s="878"/>
      <c r="J39" s="391"/>
      <c r="K39" s="487" t="s">
        <v>576</v>
      </c>
      <c r="N39" s="19"/>
    </row>
    <row r="40" spans="1:14" s="3" customFormat="1" ht="14.4" customHeight="1">
      <c r="A40" s="394"/>
      <c r="B40" s="549"/>
      <c r="C40" s="351" t="s">
        <v>419</v>
      </c>
      <c r="D40" s="99"/>
      <c r="E40" s="99"/>
      <c r="F40" s="99"/>
      <c r="G40" s="100"/>
      <c r="H40" s="100"/>
      <c r="I40" s="100"/>
      <c r="J40" s="99"/>
      <c r="K40" s="490"/>
      <c r="N40" s="19"/>
    </row>
    <row r="41" spans="1:14" s="3" customFormat="1" ht="13.8" customHeight="1">
      <c r="A41" s="394"/>
      <c r="B41" s="99"/>
      <c r="C41" s="110" t="s">
        <v>2975</v>
      </c>
      <c r="D41" s="100"/>
      <c r="E41" s="520"/>
      <c r="F41" s="111"/>
      <c r="G41" s="100"/>
      <c r="H41" s="100"/>
      <c r="I41" s="100"/>
      <c r="J41" s="26"/>
      <c r="K41" s="568"/>
      <c r="N41" s="19"/>
    </row>
    <row r="42" spans="1:14" s="3" customFormat="1" ht="13.8">
      <c r="A42" s="394"/>
      <c r="B42" s="99"/>
      <c r="C42" s="110" t="s">
        <v>1150</v>
      </c>
      <c r="D42" s="99"/>
      <c r="E42" s="111"/>
      <c r="F42" s="111"/>
      <c r="G42" s="99"/>
      <c r="H42" s="99"/>
      <c r="I42" s="99"/>
      <c r="J42" s="111"/>
      <c r="K42" s="490"/>
      <c r="N42" s="19"/>
    </row>
    <row r="43" spans="1:14" s="3" customFormat="1" ht="13.8">
      <c r="A43" s="394"/>
      <c r="B43" s="99"/>
      <c r="C43" s="110" t="s">
        <v>2467</v>
      </c>
      <c r="D43" s="100"/>
      <c r="E43" s="111"/>
      <c r="F43" s="111"/>
      <c r="G43" s="100"/>
      <c r="H43" s="100"/>
      <c r="I43" s="100"/>
      <c r="J43" s="99"/>
      <c r="K43" s="771"/>
      <c r="N43" s="19"/>
    </row>
    <row r="44" spans="1:14" s="3" customFormat="1" ht="13.8">
      <c r="A44" s="394"/>
      <c r="B44" s="99"/>
      <c r="C44" s="110" t="s">
        <v>1151</v>
      </c>
      <c r="D44" s="100"/>
      <c r="E44" s="111"/>
      <c r="F44" s="111"/>
      <c r="G44" s="100"/>
      <c r="H44" s="100"/>
      <c r="I44" s="100"/>
      <c r="J44" s="99"/>
      <c r="K44" s="771"/>
      <c r="N44" s="19"/>
    </row>
    <row r="45" spans="1:14" s="3" customFormat="1" ht="12" customHeight="1">
      <c r="A45" s="394"/>
      <c r="B45" s="99"/>
      <c r="C45" s="26"/>
      <c r="D45" s="100"/>
      <c r="E45" s="111"/>
      <c r="F45" s="111"/>
      <c r="G45" s="100"/>
      <c r="H45" s="100"/>
      <c r="I45" s="100"/>
      <c r="J45" s="99"/>
      <c r="K45" s="771"/>
      <c r="N45" s="19"/>
    </row>
    <row r="46" spans="1:14" s="3" customFormat="1" ht="13.8">
      <c r="A46" s="394"/>
      <c r="B46" s="99"/>
      <c r="C46" s="122" t="s">
        <v>797</v>
      </c>
      <c r="D46" s="124" t="s">
        <v>1595</v>
      </c>
      <c r="E46" s="111"/>
      <c r="F46" s="111"/>
      <c r="G46" s="100"/>
      <c r="H46" s="100"/>
      <c r="I46" s="100"/>
      <c r="J46" s="99"/>
      <c r="K46" s="771"/>
      <c r="N46" s="19"/>
    </row>
    <row r="47" spans="1:14" s="3" customFormat="1" ht="13.8">
      <c r="A47" s="394"/>
      <c r="B47" s="111"/>
      <c r="C47" s="99"/>
      <c r="D47" s="124" t="s">
        <v>1594</v>
      </c>
      <c r="E47" s="111"/>
      <c r="F47" s="111"/>
      <c r="G47" s="100"/>
      <c r="H47" s="100"/>
      <c r="I47" s="100"/>
      <c r="J47" s="99"/>
      <c r="K47" s="771"/>
      <c r="N47" s="19"/>
    </row>
    <row r="48" spans="1:14" s="3" customFormat="1" ht="12" customHeight="1">
      <c r="A48" s="394"/>
      <c r="B48" s="112"/>
      <c r="C48" s="99"/>
      <c r="D48" s="26"/>
      <c r="E48" s="111"/>
      <c r="F48" s="111"/>
      <c r="G48" s="100"/>
      <c r="H48" s="100"/>
      <c r="I48" s="100"/>
      <c r="J48" s="99"/>
      <c r="K48" s="772"/>
      <c r="N48" s="19"/>
    </row>
    <row r="49" spans="1:14" s="3" customFormat="1" ht="13.8">
      <c r="A49" s="394"/>
      <c r="B49" s="112"/>
      <c r="C49" s="99" t="s">
        <v>1596</v>
      </c>
      <c r="D49" s="124"/>
      <c r="E49" s="111"/>
      <c r="F49" s="111"/>
      <c r="G49" s="100"/>
      <c r="H49" s="100"/>
      <c r="I49" s="100"/>
      <c r="J49" s="99"/>
      <c r="K49" s="770"/>
      <c r="N49" s="19"/>
    </row>
    <row r="50" spans="1:14" s="3" customFormat="1" ht="13.8">
      <c r="A50" s="394"/>
      <c r="B50" s="111"/>
      <c r="C50" s="110" t="s">
        <v>1598</v>
      </c>
      <c r="D50" s="99"/>
      <c r="E50" s="111"/>
      <c r="F50" s="111"/>
      <c r="G50" s="99"/>
      <c r="H50" s="99"/>
      <c r="I50" s="99"/>
      <c r="J50" s="99"/>
      <c r="K50" s="770"/>
      <c r="N50" s="19"/>
    </row>
    <row r="51" spans="1:14" s="3" customFormat="1" ht="13.8">
      <c r="A51" s="394"/>
      <c r="B51" s="111"/>
      <c r="C51" s="99" t="s">
        <v>1597</v>
      </c>
      <c r="D51" s="99"/>
      <c r="E51" s="111"/>
      <c r="F51" s="111"/>
      <c r="G51" s="99"/>
      <c r="H51" s="99"/>
      <c r="I51" s="99"/>
      <c r="J51" s="99"/>
      <c r="K51" s="775"/>
      <c r="N51" s="19"/>
    </row>
    <row r="52" spans="1:14" s="3" customFormat="1" ht="13.8">
      <c r="A52" s="394"/>
      <c r="B52" s="111"/>
      <c r="C52" s="351" t="s">
        <v>271</v>
      </c>
      <c r="D52" s="99"/>
      <c r="E52" s="111"/>
      <c r="F52" s="111"/>
      <c r="G52" s="99"/>
      <c r="H52" s="99"/>
      <c r="I52" s="99"/>
      <c r="J52" s="99"/>
      <c r="K52" s="776"/>
      <c r="N52" s="19"/>
    </row>
    <row r="53" spans="1:14" s="3" customFormat="1" ht="15.6">
      <c r="A53" s="394"/>
      <c r="B53" s="99"/>
      <c r="C53" s="110" t="s">
        <v>773</v>
      </c>
      <c r="D53" s="113"/>
      <c r="E53" s="111"/>
      <c r="F53" s="863"/>
      <c r="G53" s="99"/>
      <c r="H53" s="100"/>
      <c r="I53" s="99"/>
      <c r="J53" s="99"/>
      <c r="K53" s="490"/>
      <c r="N53" s="19"/>
    </row>
    <row r="54" spans="1:14" s="3" customFormat="1" ht="15.6">
      <c r="A54" s="394"/>
      <c r="B54" s="99"/>
      <c r="C54" s="99" t="s">
        <v>1251</v>
      </c>
      <c r="D54" s="114"/>
      <c r="E54" s="111"/>
      <c r="F54" s="862"/>
      <c r="G54" s="99"/>
      <c r="H54" s="100"/>
      <c r="I54" s="99"/>
      <c r="J54" s="99"/>
      <c r="K54" s="490"/>
      <c r="N54" s="19"/>
    </row>
    <row r="55" spans="1:14" s="3" customFormat="1" ht="15.6">
      <c r="A55" s="394"/>
      <c r="B55" s="99"/>
      <c r="C55" s="110" t="s">
        <v>1252</v>
      </c>
      <c r="D55" s="113"/>
      <c r="E55" s="111"/>
      <c r="F55" s="864"/>
      <c r="G55" s="99"/>
      <c r="H55" s="100"/>
      <c r="I55" s="99"/>
      <c r="J55" s="99"/>
      <c r="K55" s="777"/>
      <c r="N55" s="19"/>
    </row>
    <row r="56" spans="1:14" s="3" customFormat="1" ht="13.8">
      <c r="A56" s="394"/>
      <c r="B56" s="111"/>
      <c r="C56" s="110" t="s">
        <v>1253</v>
      </c>
      <c r="D56" s="99"/>
      <c r="E56" s="99"/>
      <c r="F56" s="99"/>
      <c r="G56" s="99"/>
      <c r="H56" s="99"/>
      <c r="I56" s="99"/>
      <c r="J56" s="99"/>
      <c r="K56" s="490"/>
      <c r="N56" s="19"/>
    </row>
    <row r="57" spans="1:14" s="3" customFormat="1" ht="13.8">
      <c r="A57" s="394"/>
      <c r="B57" s="99"/>
      <c r="C57" s="99"/>
      <c r="D57" s="99"/>
      <c r="E57" s="111"/>
      <c r="F57" s="111"/>
      <c r="G57" s="99"/>
      <c r="H57" s="99"/>
      <c r="I57" s="99"/>
      <c r="J57" s="99"/>
      <c r="K57" s="490"/>
      <c r="N57" s="19"/>
    </row>
    <row r="58" spans="1:14" s="3" customFormat="1" ht="15.6">
      <c r="A58" s="394"/>
      <c r="B58" s="99"/>
      <c r="C58" s="111"/>
      <c r="D58" s="113"/>
      <c r="E58" s="111"/>
      <c r="F58" s="865"/>
      <c r="G58" s="99"/>
      <c r="H58" s="100"/>
      <c r="I58" s="99"/>
      <c r="J58" s="99"/>
      <c r="K58" s="417"/>
      <c r="N58" s="19"/>
    </row>
    <row r="59" spans="1:14" s="3" customFormat="1">
      <c r="A59" s="394"/>
      <c r="B59" s="99"/>
      <c r="C59" s="99"/>
      <c r="D59" s="99"/>
      <c r="E59" s="111"/>
      <c r="F59" s="111"/>
      <c r="G59" s="99"/>
      <c r="H59" s="99"/>
      <c r="I59" s="99"/>
      <c r="J59" s="107"/>
      <c r="K59" s="490"/>
      <c r="N59" s="19"/>
    </row>
    <row r="60" spans="1:14" s="3" customFormat="1" ht="13.8">
      <c r="A60" s="394"/>
      <c r="B60" s="99"/>
      <c r="C60" s="99"/>
      <c r="D60" s="99"/>
      <c r="E60" s="111"/>
      <c r="F60" s="111"/>
      <c r="G60" s="117"/>
      <c r="H60" s="870"/>
      <c r="I60" s="99"/>
      <c r="J60" s="99"/>
      <c r="K60" s="490"/>
      <c r="N60" s="19"/>
    </row>
    <row r="61" spans="1:14" s="3" customFormat="1" ht="13.8">
      <c r="A61" s="394"/>
      <c r="B61" s="99"/>
      <c r="C61" s="99"/>
      <c r="D61" s="99"/>
      <c r="E61" s="111"/>
      <c r="F61" s="111"/>
      <c r="G61" s="99"/>
      <c r="H61" s="99"/>
      <c r="I61" s="99"/>
      <c r="J61" s="99"/>
      <c r="K61" s="490"/>
      <c r="N61" s="19"/>
    </row>
    <row r="62" spans="1:14" s="3" customFormat="1" ht="13.8">
      <c r="A62" s="394"/>
      <c r="B62" s="111"/>
      <c r="C62" s="99"/>
      <c r="D62" s="99"/>
      <c r="E62" s="111"/>
      <c r="F62" s="111"/>
      <c r="G62" s="99"/>
      <c r="H62" s="99"/>
      <c r="I62" s="99"/>
      <c r="J62" s="99"/>
      <c r="K62" s="490"/>
      <c r="N62" s="19"/>
    </row>
    <row r="63" spans="1:14" s="3" customFormat="1" ht="13.8">
      <c r="A63" s="394"/>
      <c r="B63" s="99"/>
      <c r="C63" s="99"/>
      <c r="D63" s="99"/>
      <c r="E63" s="111"/>
      <c r="F63" s="111"/>
      <c r="G63" s="99"/>
      <c r="H63" s="99"/>
      <c r="I63" s="99"/>
      <c r="J63" s="99"/>
      <c r="K63" s="490"/>
      <c r="N63" s="19"/>
    </row>
    <row r="64" spans="1:14" s="3" customFormat="1" ht="15.6">
      <c r="A64" s="394"/>
      <c r="B64" s="99"/>
      <c r="C64" s="111"/>
      <c r="D64" s="113"/>
      <c r="E64" s="111"/>
      <c r="F64" s="866"/>
      <c r="G64" s="99"/>
      <c r="H64" s="100"/>
      <c r="I64" s="99"/>
      <c r="J64" s="99"/>
      <c r="K64" s="490"/>
      <c r="N64" s="19"/>
    </row>
    <row r="65" spans="1:14" s="3" customFormat="1" ht="13.8">
      <c r="A65" s="394"/>
      <c r="B65" s="111"/>
      <c r="C65" s="99"/>
      <c r="D65" s="99"/>
      <c r="E65" s="111"/>
      <c r="F65" s="111"/>
      <c r="G65" s="99"/>
      <c r="H65" s="99"/>
      <c r="I65" s="99"/>
      <c r="J65" s="99"/>
      <c r="K65" s="490"/>
      <c r="N65" s="19"/>
    </row>
    <row r="66" spans="1:14" s="3" customFormat="1" ht="13.8">
      <c r="A66" s="394"/>
      <c r="B66" s="99"/>
      <c r="C66" s="99"/>
      <c r="D66" s="99"/>
      <c r="E66" s="111"/>
      <c r="F66" s="111"/>
      <c r="G66" s="99"/>
      <c r="H66" s="99"/>
      <c r="I66" s="99"/>
      <c r="J66" s="99"/>
      <c r="K66" s="490"/>
      <c r="N66" s="19"/>
    </row>
    <row r="67" spans="1:14" s="3" customFormat="1" ht="15.6">
      <c r="A67" s="394"/>
      <c r="B67" s="111"/>
      <c r="C67" s="111"/>
      <c r="D67" s="119"/>
      <c r="E67" s="111"/>
      <c r="F67" s="867"/>
      <c r="G67" s="99"/>
      <c r="H67" s="100"/>
      <c r="I67" s="99"/>
      <c r="J67" s="99"/>
      <c r="K67" s="490"/>
      <c r="N67" s="19"/>
    </row>
    <row r="68" spans="1:14" s="3" customFormat="1" ht="13.8">
      <c r="A68" s="394"/>
      <c r="B68" s="99"/>
      <c r="C68" s="99"/>
      <c r="D68" s="99"/>
      <c r="E68" s="111"/>
      <c r="F68" s="111"/>
      <c r="G68" s="99"/>
      <c r="H68" s="99"/>
      <c r="I68" s="99"/>
      <c r="J68" s="99"/>
      <c r="K68" s="490"/>
      <c r="N68" s="19"/>
    </row>
    <row r="69" spans="1:14" s="3" customFormat="1" ht="15.6">
      <c r="A69" s="394"/>
      <c r="B69" s="111"/>
      <c r="C69" s="99"/>
      <c r="D69" s="99"/>
      <c r="E69" s="111"/>
      <c r="F69" s="862"/>
      <c r="G69" s="99"/>
      <c r="H69" s="100"/>
      <c r="I69" s="99"/>
      <c r="J69" s="99"/>
      <c r="K69" s="490"/>
      <c r="N69" s="19"/>
    </row>
    <row r="70" spans="1:14" s="3" customFormat="1" ht="13.8">
      <c r="A70" s="394"/>
      <c r="B70" s="99"/>
      <c r="C70" s="681" t="s">
        <v>2129</v>
      </c>
      <c r="D70" s="99"/>
      <c r="E70" s="570" t="s">
        <v>255</v>
      </c>
      <c r="F70" s="111"/>
      <c r="G70" s="99"/>
      <c r="H70" s="99"/>
      <c r="I70" s="99"/>
      <c r="J70" s="99"/>
      <c r="K70" s="490"/>
      <c r="N70" s="19"/>
    </row>
    <row r="71" spans="1:14" s="3" customFormat="1" ht="13.8">
      <c r="A71" s="394"/>
      <c r="B71" s="99"/>
      <c r="C71" s="99"/>
      <c r="D71" s="1152" t="s">
        <v>256</v>
      </c>
      <c r="E71" s="111"/>
      <c r="F71" s="111"/>
      <c r="G71" s="99"/>
      <c r="H71" s="100"/>
      <c r="I71" s="99"/>
      <c r="J71" s="99"/>
      <c r="K71" s="490"/>
      <c r="N71" s="19"/>
    </row>
    <row r="72" spans="1:14" s="3" customFormat="1" ht="13.8">
      <c r="A72" s="394"/>
      <c r="B72" s="122"/>
      <c r="C72" s="99"/>
      <c r="D72" s="1874" t="s">
        <v>601</v>
      </c>
      <c r="E72" s="111"/>
      <c r="F72" s="111"/>
      <c r="G72" s="99"/>
      <c r="H72" s="1874" t="s">
        <v>434</v>
      </c>
      <c r="I72" s="99"/>
      <c r="J72" s="99"/>
      <c r="K72" s="490"/>
      <c r="N72" s="19"/>
    </row>
    <row r="73" spans="1:14" s="3" customFormat="1" ht="13.8">
      <c r="A73" s="394"/>
      <c r="B73" s="122"/>
      <c r="C73" s="99"/>
      <c r="D73" s="1874"/>
      <c r="E73" s="111"/>
      <c r="F73" s="111"/>
      <c r="G73" s="99"/>
      <c r="H73" s="1874"/>
      <c r="I73" s="99"/>
      <c r="J73" s="99"/>
      <c r="K73" s="490"/>
      <c r="N73" s="19"/>
    </row>
    <row r="74" spans="1:14" s="3" customFormat="1" ht="13.8">
      <c r="A74" s="394"/>
      <c r="B74" s="122"/>
      <c r="C74" s="123" t="s">
        <v>1116</v>
      </c>
      <c r="D74" s="99"/>
      <c r="E74" s="111"/>
      <c r="F74" s="111"/>
      <c r="G74" s="99"/>
      <c r="H74" s="1874"/>
      <c r="I74" s="99"/>
      <c r="J74" s="99"/>
      <c r="K74" s="490"/>
      <c r="N74" s="19"/>
    </row>
    <row r="75" spans="1:14" s="3" customFormat="1" ht="13.8">
      <c r="A75" s="394"/>
      <c r="B75" s="99"/>
      <c r="C75" s="273" t="s">
        <v>2027</v>
      </c>
      <c r="D75" s="99"/>
      <c r="E75" s="111"/>
      <c r="F75" s="111"/>
      <c r="G75" s="99"/>
      <c r="H75" s="99"/>
      <c r="I75" s="99"/>
      <c r="J75" s="99"/>
      <c r="K75" s="490"/>
      <c r="N75" s="19"/>
    </row>
    <row r="76" spans="1:14" s="3" customFormat="1" ht="13.8">
      <c r="A76" s="394"/>
      <c r="B76" s="99"/>
      <c r="C76" s="124" t="s">
        <v>2028</v>
      </c>
      <c r="D76" s="99"/>
      <c r="E76" s="111"/>
      <c r="F76" s="111"/>
      <c r="G76" s="99"/>
      <c r="H76" s="99"/>
      <c r="I76" s="99"/>
      <c r="J76" s="99"/>
      <c r="K76" s="490"/>
      <c r="N76" s="19"/>
    </row>
    <row r="77" spans="1:14" s="3" customFormat="1" ht="13.8">
      <c r="A77" s="394"/>
      <c r="B77" s="99"/>
      <c r="C77" s="124" t="s">
        <v>2029</v>
      </c>
      <c r="D77" s="99"/>
      <c r="E77" s="111"/>
      <c r="F77" s="111"/>
      <c r="G77" s="99"/>
      <c r="H77" s="99"/>
      <c r="I77" s="99"/>
      <c r="J77" s="99"/>
      <c r="K77" s="490"/>
      <c r="N77" s="19"/>
    </row>
    <row r="78" spans="1:14" s="3" customFormat="1" ht="13.8">
      <c r="A78" s="496"/>
      <c r="B78" s="502"/>
      <c r="C78" s="502"/>
      <c r="D78" s="502"/>
      <c r="E78" s="502"/>
      <c r="F78" s="502"/>
      <c r="G78" s="502"/>
      <c r="H78" s="502"/>
      <c r="I78" s="502"/>
      <c r="J78" s="502"/>
      <c r="K78" s="499"/>
      <c r="N78" s="19"/>
    </row>
    <row r="79" spans="1:14" s="3" customFormat="1" ht="15.6">
      <c r="A79" s="500"/>
      <c r="B79" s="391"/>
      <c r="C79" s="391"/>
      <c r="D79" s="391"/>
      <c r="E79" s="546"/>
      <c r="F79" s="546"/>
      <c r="G79" s="391"/>
      <c r="H79" s="391"/>
      <c r="I79" s="391"/>
      <c r="J79" s="391"/>
      <c r="K79" s="487" t="s">
        <v>575</v>
      </c>
      <c r="N79" s="19"/>
    </row>
    <row r="80" spans="1:14" s="3" customFormat="1" ht="15" customHeight="1">
      <c r="A80" s="394"/>
      <c r="B80" s="108"/>
      <c r="C80" s="117" t="s">
        <v>1815</v>
      </c>
      <c r="D80" s="503" t="s">
        <v>1224</v>
      </c>
      <c r="E80" s="605"/>
      <c r="F80" s="111"/>
      <c r="G80" s="112"/>
      <c r="H80" s="112"/>
      <c r="I80" s="112"/>
      <c r="J80" s="26"/>
      <c r="K80" s="490"/>
      <c r="N80" s="19"/>
    </row>
    <row r="81" spans="1:15" s="22" customFormat="1" ht="15" customHeight="1">
      <c r="A81" s="501"/>
      <c r="B81" s="737" t="s">
        <v>1592</v>
      </c>
      <c r="C81" s="108"/>
      <c r="D81" s="108"/>
      <c r="E81" s="111"/>
      <c r="F81" s="111"/>
      <c r="G81" s="112"/>
      <c r="H81" s="112"/>
      <c r="I81" s="112"/>
      <c r="J81" s="112"/>
      <c r="K81" s="504"/>
      <c r="N81" s="19"/>
    </row>
    <row r="82" spans="1:15" s="22" customFormat="1" ht="16.5" customHeight="1">
      <c r="A82" s="501"/>
      <c r="B82" s="503" t="s">
        <v>2665</v>
      </c>
      <c r="C82" s="112"/>
      <c r="D82" s="112"/>
      <c r="E82" s="111"/>
      <c r="F82" s="111"/>
      <c r="G82" s="112"/>
      <c r="H82" s="112"/>
      <c r="I82" s="112"/>
      <c r="J82" s="112"/>
      <c r="K82" s="504"/>
      <c r="N82" s="19"/>
    </row>
    <row r="83" spans="1:15" s="22" customFormat="1" ht="15" customHeight="1">
      <c r="A83" s="501"/>
      <c r="B83" s="273" t="s">
        <v>2064</v>
      </c>
      <c r="C83" s="99"/>
      <c r="D83" s="99"/>
      <c r="E83" s="111"/>
      <c r="F83" s="111"/>
      <c r="G83" s="99"/>
      <c r="H83" s="99"/>
      <c r="I83" s="99"/>
      <c r="J83" s="112"/>
      <c r="K83" s="504"/>
      <c r="N83" s="19"/>
    </row>
    <row r="84" spans="1:15" s="3" customFormat="1" ht="15" customHeight="1">
      <c r="A84" s="394"/>
      <c r="B84" s="124" t="s">
        <v>1593</v>
      </c>
      <c r="C84" s="99"/>
      <c r="D84" s="99"/>
      <c r="E84" s="111"/>
      <c r="F84" s="111"/>
      <c r="G84" s="99"/>
      <c r="H84" s="99"/>
      <c r="I84" s="99"/>
      <c r="J84" s="99"/>
      <c r="K84" s="490"/>
      <c r="N84" s="19"/>
    </row>
    <row r="85" spans="1:15" s="3" customFormat="1" ht="15" customHeight="1">
      <c r="A85" s="394"/>
      <c r="B85" s="875"/>
      <c r="C85" s="507"/>
      <c r="D85" s="507"/>
      <c r="E85" s="860"/>
      <c r="F85" s="860"/>
      <c r="G85" s="507"/>
      <c r="H85" s="99"/>
      <c r="I85" s="99"/>
      <c r="J85" s="99"/>
      <c r="K85" s="490"/>
      <c r="N85" s="19"/>
    </row>
    <row r="86" spans="1:15" s="78" customFormat="1" ht="15.75" customHeight="1">
      <c r="A86" s="505"/>
      <c r="B86" s="124" t="s">
        <v>798</v>
      </c>
      <c r="C86" s="99"/>
      <c r="D86" s="99"/>
      <c r="E86" s="111"/>
      <c r="F86" s="111"/>
      <c r="G86" s="99"/>
      <c r="H86" s="1056" t="s">
        <v>271</v>
      </c>
      <c r="I86" s="507" t="s">
        <v>1225</v>
      </c>
      <c r="J86" s="99"/>
      <c r="K86" s="417"/>
      <c r="N86" s="703"/>
    </row>
    <row r="87" spans="1:15" s="3" customFormat="1" ht="15" customHeight="1">
      <c r="A87" s="394"/>
      <c r="B87" s="26"/>
      <c r="C87" s="99"/>
      <c r="D87" s="99"/>
      <c r="E87" s="111"/>
      <c r="F87" s="111"/>
      <c r="G87" s="99"/>
      <c r="H87" s="99"/>
      <c r="I87" s="99" t="s">
        <v>1226</v>
      </c>
      <c r="J87" s="507"/>
      <c r="K87" s="490"/>
      <c r="N87" s="19"/>
    </row>
    <row r="88" spans="1:15" s="3" customFormat="1" ht="15" customHeight="1">
      <c r="A88" s="394"/>
      <c r="B88" s="99"/>
      <c r="C88" s="99"/>
      <c r="D88" s="108"/>
      <c r="E88" s="856" t="s">
        <v>3</v>
      </c>
      <c r="F88" s="506"/>
      <c r="G88" s="612" t="s">
        <v>271</v>
      </c>
      <c r="H88" s="99"/>
      <c r="I88" s="99"/>
      <c r="J88" s="99"/>
      <c r="K88" s="490"/>
      <c r="N88" s="19"/>
    </row>
    <row r="89" spans="1:15" s="3" customFormat="1" ht="16.5" customHeight="1">
      <c r="A89" s="394"/>
      <c r="B89" s="99"/>
      <c r="C89" s="506" t="s">
        <v>795</v>
      </c>
      <c r="D89" s="111" t="s">
        <v>1141</v>
      </c>
      <c r="E89" s="879">
        <v>1.52</v>
      </c>
      <c r="F89" s="108" t="s">
        <v>2317</v>
      </c>
      <c r="G89" s="758" t="s">
        <v>774</v>
      </c>
      <c r="H89" s="99"/>
      <c r="I89" s="99"/>
      <c r="J89" s="99"/>
      <c r="K89" s="417"/>
      <c r="N89" s="19"/>
    </row>
    <row r="90" spans="1:15" s="3" customFormat="1" ht="16.5" customHeight="1">
      <c r="A90" s="394"/>
      <c r="B90" s="112"/>
      <c r="C90" s="111" t="s">
        <v>796</v>
      </c>
      <c r="D90" s="111" t="s">
        <v>776</v>
      </c>
      <c r="E90" s="1761">
        <v>0.998</v>
      </c>
      <c r="F90" s="112"/>
      <c r="G90" s="758" t="s">
        <v>610</v>
      </c>
      <c r="H90" s="112"/>
      <c r="I90" s="99"/>
      <c r="J90" s="99"/>
      <c r="K90" s="490"/>
      <c r="N90" s="19"/>
    </row>
    <row r="91" spans="1:15" s="22" customFormat="1" ht="16.5" customHeight="1">
      <c r="A91" s="501"/>
      <c r="B91" s="99"/>
      <c r="C91" s="506" t="s">
        <v>852</v>
      </c>
      <c r="D91" s="506" t="s">
        <v>352</v>
      </c>
      <c r="E91" s="611">
        <v>21.99</v>
      </c>
      <c r="F91" s="108"/>
      <c r="G91" s="758" t="s">
        <v>608</v>
      </c>
      <c r="H91" s="99"/>
      <c r="I91" s="99"/>
      <c r="J91" s="112"/>
      <c r="K91" s="504"/>
      <c r="N91" s="19"/>
      <c r="O91"/>
    </row>
    <row r="92" spans="1:15" s="3" customFormat="1" ht="15" customHeight="1">
      <c r="A92" s="394"/>
      <c r="B92" s="99" t="s">
        <v>1599</v>
      </c>
      <c r="C92" s="99"/>
      <c r="D92" s="99"/>
      <c r="E92" s="111"/>
      <c r="F92" s="111"/>
      <c r="G92" s="758" t="s">
        <v>609</v>
      </c>
      <c r="H92" s="99"/>
      <c r="I92" s="99"/>
      <c r="J92" s="99"/>
      <c r="K92" s="778"/>
      <c r="N92" s="19"/>
    </row>
    <row r="93" spans="1:15" s="3" customFormat="1" ht="15" customHeight="1">
      <c r="A93" s="394"/>
      <c r="B93" s="99"/>
      <c r="C93" s="99"/>
      <c r="D93" s="99"/>
      <c r="E93" s="667" t="s">
        <v>799</v>
      </c>
      <c r="F93" s="111"/>
      <c r="G93" s="758" t="s">
        <v>607</v>
      </c>
      <c r="H93" s="99"/>
      <c r="I93" s="99"/>
      <c r="J93" s="99"/>
      <c r="K93" s="490"/>
      <c r="N93" s="19"/>
    </row>
    <row r="94" spans="1:15" s="3" customFormat="1" ht="17.25" customHeight="1">
      <c r="A94" s="394"/>
      <c r="B94" s="99"/>
      <c r="C94" s="112"/>
      <c r="D94" s="112"/>
      <c r="E94" s="667" t="s">
        <v>800</v>
      </c>
      <c r="F94" s="111"/>
      <c r="G94" s="767"/>
      <c r="H94" s="99"/>
      <c r="I94" s="26"/>
      <c r="J94" s="99"/>
      <c r="K94" s="490"/>
      <c r="N94" s="19"/>
    </row>
    <row r="95" spans="1:15" s="3" customFormat="1" ht="16.5" customHeight="1">
      <c r="A95" s="394"/>
      <c r="B95" s="99"/>
      <c r="C95" s="111" t="s">
        <v>13</v>
      </c>
      <c r="D95" s="111" t="s">
        <v>6</v>
      </c>
      <c r="E95" s="1448">
        <f>E90*H10*1000</f>
        <v>299192873.08399999</v>
      </c>
      <c r="F95" s="110" t="s">
        <v>1755</v>
      </c>
      <c r="G95" s="881"/>
      <c r="H95" s="108"/>
      <c r="I95" s="108"/>
      <c r="J95" s="99"/>
      <c r="K95" s="490"/>
      <c r="N95" s="19"/>
    </row>
    <row r="96" spans="1:15" s="3" customFormat="1" ht="16.5" customHeight="1">
      <c r="A96" s="394"/>
      <c r="B96" s="99"/>
      <c r="C96" s="506" t="s">
        <v>801</v>
      </c>
      <c r="D96" s="111" t="s">
        <v>581</v>
      </c>
      <c r="E96" s="1449">
        <f>E95*E89/1000000</f>
        <v>454.77316708768001</v>
      </c>
      <c r="F96" s="348" t="s">
        <v>681</v>
      </c>
      <c r="G96" s="614"/>
      <c r="H96" s="108"/>
      <c r="I96" s="99"/>
      <c r="J96" s="108"/>
      <c r="K96" s="490"/>
      <c r="N96" s="19"/>
    </row>
    <row r="97" spans="1:15" s="3" customFormat="1" ht="16.5" customHeight="1">
      <c r="A97" s="394"/>
      <c r="B97" s="99"/>
      <c r="C97" s="111" t="s">
        <v>802</v>
      </c>
      <c r="D97" s="111" t="s">
        <v>578</v>
      </c>
      <c r="E97" s="1448">
        <f>E96*E91</f>
        <v>10000.461944258082</v>
      </c>
      <c r="F97" s="110" t="s">
        <v>681</v>
      </c>
      <c r="G97" s="614"/>
      <c r="H97" s="108"/>
      <c r="I97" s="99"/>
      <c r="J97" s="108"/>
      <c r="K97" s="490"/>
      <c r="M97"/>
      <c r="N97"/>
    </row>
    <row r="98" spans="1:15" s="3" customFormat="1" ht="15" customHeight="1">
      <c r="A98" s="394"/>
      <c r="B98" s="107"/>
      <c r="C98" s="125"/>
      <c r="D98" s="107"/>
      <c r="E98" s="520"/>
      <c r="F98" s="859"/>
      <c r="G98" s="508"/>
      <c r="H98" s="108"/>
      <c r="I98" s="1875" t="s">
        <v>435</v>
      </c>
      <c r="J98" s="108"/>
      <c r="K98" s="490"/>
      <c r="M98"/>
      <c r="N98"/>
      <c r="O98"/>
    </row>
    <row r="99" spans="1:15">
      <c r="A99" s="414"/>
      <c r="B99" s="107"/>
      <c r="C99" s="107"/>
      <c r="D99" s="107"/>
      <c r="E99" s="111"/>
      <c r="F99" s="111"/>
      <c r="G99" s="571" t="s">
        <v>4</v>
      </c>
      <c r="H99" s="99"/>
      <c r="I99" s="99"/>
      <c r="J99" s="508"/>
      <c r="K99" s="417"/>
      <c r="N99"/>
    </row>
    <row r="100" spans="1:15">
      <c r="A100" s="414"/>
      <c r="B100" s="107"/>
      <c r="C100" s="107"/>
      <c r="D100" s="107"/>
      <c r="E100" s="101" t="s">
        <v>584</v>
      </c>
      <c r="F100" s="101" t="s">
        <v>586</v>
      </c>
      <c r="G100" s="101" t="s">
        <v>586</v>
      </c>
      <c r="H100" s="759"/>
      <c r="I100" s="567"/>
      <c r="J100" s="763"/>
      <c r="K100" s="779"/>
      <c r="N100"/>
    </row>
    <row r="101" spans="1:15">
      <c r="A101" s="414"/>
      <c r="B101" s="107"/>
      <c r="C101" s="107"/>
      <c r="D101" s="107"/>
      <c r="E101" s="102" t="s">
        <v>583</v>
      </c>
      <c r="F101" s="102" t="s">
        <v>583</v>
      </c>
      <c r="G101" s="102" t="s">
        <v>583</v>
      </c>
      <c r="H101" s="103" t="s">
        <v>785</v>
      </c>
      <c r="I101" s="758" t="s">
        <v>785</v>
      </c>
      <c r="J101" s="764"/>
      <c r="K101" s="779"/>
      <c r="N101"/>
    </row>
    <row r="102" spans="1:15">
      <c r="A102" s="414"/>
      <c r="B102" s="107"/>
      <c r="C102" s="107"/>
      <c r="D102" s="107"/>
      <c r="E102" s="102" t="s">
        <v>783</v>
      </c>
      <c r="F102" s="102" t="s">
        <v>784</v>
      </c>
      <c r="G102" s="102" t="s">
        <v>784</v>
      </c>
      <c r="H102" s="103" t="s">
        <v>780</v>
      </c>
      <c r="I102" s="758" t="s">
        <v>780</v>
      </c>
      <c r="J102" s="103" t="s">
        <v>775</v>
      </c>
      <c r="K102" s="779"/>
      <c r="N102"/>
    </row>
    <row r="103" spans="1:15">
      <c r="A103" s="414"/>
      <c r="B103" s="107"/>
      <c r="C103" s="107"/>
      <c r="D103" s="107"/>
      <c r="E103" s="102" t="s">
        <v>582</v>
      </c>
      <c r="F103" s="102" t="s">
        <v>582</v>
      </c>
      <c r="G103" s="128" t="s">
        <v>587</v>
      </c>
      <c r="H103" s="103" t="s">
        <v>781</v>
      </c>
      <c r="I103" s="758" t="s">
        <v>781</v>
      </c>
      <c r="J103" s="103" t="s">
        <v>590</v>
      </c>
      <c r="K103" s="779"/>
      <c r="N103"/>
    </row>
    <row r="104" spans="1:15" ht="15.6">
      <c r="A104" s="414"/>
      <c r="B104" s="107"/>
      <c r="C104" s="107"/>
      <c r="D104" s="107"/>
      <c r="E104" s="102" t="s">
        <v>585</v>
      </c>
      <c r="F104" s="102" t="s">
        <v>585</v>
      </c>
      <c r="G104" s="128" t="s">
        <v>779</v>
      </c>
      <c r="H104" s="103" t="s">
        <v>782</v>
      </c>
      <c r="I104" s="758" t="s">
        <v>787</v>
      </c>
      <c r="J104" s="764"/>
      <c r="K104" s="779"/>
      <c r="N104"/>
    </row>
    <row r="105" spans="1:15" ht="15.6">
      <c r="A105" s="414"/>
      <c r="B105" s="107"/>
      <c r="C105" s="107"/>
      <c r="D105" s="107"/>
      <c r="E105" s="880" t="s">
        <v>777</v>
      </c>
      <c r="F105" s="880" t="s">
        <v>778</v>
      </c>
      <c r="G105" s="129" t="s">
        <v>588</v>
      </c>
      <c r="H105" s="104" t="s">
        <v>786</v>
      </c>
      <c r="I105" s="766" t="s">
        <v>788</v>
      </c>
      <c r="J105" s="765"/>
      <c r="K105" s="779"/>
      <c r="N105"/>
    </row>
    <row r="106" spans="1:15">
      <c r="A106" s="414"/>
      <c r="B106" s="107"/>
      <c r="C106" s="107"/>
      <c r="D106" s="107"/>
      <c r="E106" s="111"/>
      <c r="F106" s="520"/>
      <c r="G106" s="100"/>
      <c r="H106" s="100"/>
      <c r="I106" s="100"/>
      <c r="J106" s="27"/>
      <c r="K106" s="779"/>
      <c r="N106"/>
    </row>
    <row r="107" spans="1:15">
      <c r="A107" s="414"/>
      <c r="B107" s="107"/>
      <c r="C107" s="107"/>
      <c r="D107" s="107"/>
      <c r="E107" s="857"/>
      <c r="F107" s="159"/>
      <c r="G107" s="610"/>
      <c r="H107" s="100"/>
      <c r="I107" s="100"/>
      <c r="J107" s="99"/>
      <c r="K107" s="779"/>
    </row>
    <row r="108" spans="1:15">
      <c r="A108" s="414"/>
      <c r="B108" s="107"/>
      <c r="C108" s="107"/>
      <c r="D108" s="107"/>
      <c r="E108" s="858"/>
      <c r="F108" s="160"/>
      <c r="G108" s="134"/>
      <c r="H108" s="100"/>
      <c r="I108" s="100"/>
      <c r="J108" s="99"/>
      <c r="K108" s="779"/>
    </row>
    <row r="109" spans="1:15">
      <c r="A109" s="414"/>
      <c r="B109" s="108"/>
      <c r="C109" s="351"/>
      <c r="D109" s="107"/>
      <c r="E109" s="334" t="s">
        <v>38</v>
      </c>
      <c r="F109" s="334" t="s">
        <v>38</v>
      </c>
      <c r="G109" s="758" t="s">
        <v>38</v>
      </c>
      <c r="H109" s="100"/>
      <c r="I109" s="100"/>
      <c r="J109" s="760"/>
      <c r="K109" s="779"/>
    </row>
    <row r="110" spans="1:15" s="3" customFormat="1" ht="13.8">
      <c r="A110" s="394"/>
      <c r="B110" s="100"/>
      <c r="C110" s="100"/>
      <c r="D110" s="100"/>
      <c r="E110" s="135"/>
      <c r="F110" s="135"/>
      <c r="G110" s="135"/>
      <c r="H110" s="869"/>
      <c r="I110" s="761"/>
      <c r="J110" s="762"/>
      <c r="K110" s="779"/>
      <c r="N110" s="19"/>
    </row>
    <row r="111" spans="1:15" ht="17.25" customHeight="1">
      <c r="A111" s="414"/>
      <c r="B111" s="107"/>
      <c r="C111" s="1874" t="s">
        <v>434</v>
      </c>
      <c r="D111" s="109"/>
      <c r="E111" s="109" t="s">
        <v>580</v>
      </c>
      <c r="F111" s="109" t="s">
        <v>580</v>
      </c>
      <c r="G111" s="109" t="s">
        <v>579</v>
      </c>
      <c r="H111" s="109" t="s">
        <v>580</v>
      </c>
      <c r="I111" s="109" t="s">
        <v>111</v>
      </c>
      <c r="J111" s="768" t="s">
        <v>589</v>
      </c>
      <c r="K111" s="417"/>
      <c r="N111"/>
    </row>
    <row r="112" spans="1:15" ht="17.25" customHeight="1">
      <c r="A112" s="414"/>
      <c r="B112" s="396" t="s">
        <v>1227</v>
      </c>
      <c r="C112" s="72"/>
      <c r="D112" s="508"/>
      <c r="E112" s="1450">
        <f>(E97/E95)*1000000</f>
        <v>33.424799999999998</v>
      </c>
      <c r="F112" s="1450">
        <f>E112/J112</f>
        <v>2.1129127173501128</v>
      </c>
      <c r="G112" s="1450">
        <f>E95*F112/1000000</f>
        <v>632.16842647970191</v>
      </c>
      <c r="H112" s="1450">
        <f>E112-F112</f>
        <v>31.311887282649884</v>
      </c>
      <c r="I112" s="1451">
        <f xml:space="preserve"> H112*100/E112</f>
        <v>93.678607748288357</v>
      </c>
      <c r="J112" s="1452">
        <f>1/(SQRT(1-((POWER(E90,2)))))</f>
        <v>15.819299929208318</v>
      </c>
      <c r="K112" s="780"/>
    </row>
    <row r="113" spans="1:14" s="53" customFormat="1" ht="17.25" customHeight="1">
      <c r="A113" s="333"/>
      <c r="B113" s="503" t="s">
        <v>2468</v>
      </c>
      <c r="C113" s="99"/>
      <c r="D113" s="99"/>
      <c r="E113" s="111"/>
      <c r="F113" s="111"/>
      <c r="G113" s="99"/>
      <c r="H113" s="99"/>
      <c r="I113" s="99"/>
      <c r="J113" s="72"/>
      <c r="K113" s="331"/>
      <c r="N113" s="68"/>
    </row>
    <row r="114" spans="1:14" s="3" customFormat="1" ht="15" customHeight="1">
      <c r="A114" s="394"/>
      <c r="B114" s="503" t="s">
        <v>2469</v>
      </c>
      <c r="C114" s="108"/>
      <c r="D114" s="108"/>
      <c r="E114" s="506"/>
      <c r="F114" s="506"/>
      <c r="G114" s="108"/>
      <c r="H114" s="491"/>
      <c r="I114" s="99"/>
      <c r="J114" s="99"/>
      <c r="K114" s="490"/>
      <c r="N114" s="19"/>
    </row>
    <row r="115" spans="1:14" s="70" customFormat="1" ht="7.8" customHeight="1">
      <c r="A115" s="511"/>
      <c r="B115" s="1140"/>
      <c r="C115" s="513"/>
      <c r="D115" s="513"/>
      <c r="E115" s="1141"/>
      <c r="F115" s="1141"/>
      <c r="G115" s="513"/>
      <c r="H115" s="512"/>
      <c r="I115" s="513"/>
      <c r="J115" s="513"/>
      <c r="K115" s="515"/>
      <c r="L115" s="69"/>
      <c r="N115" s="69"/>
    </row>
    <row r="116" spans="1:14" s="600" customFormat="1" ht="15" customHeight="1">
      <c r="B116" s="509"/>
      <c r="C116" s="510"/>
      <c r="D116" s="509"/>
      <c r="E116" s="861"/>
      <c r="F116" s="861"/>
      <c r="G116" s="509"/>
      <c r="H116" s="509"/>
      <c r="I116" s="509"/>
      <c r="N116" s="877"/>
    </row>
    <row r="117" spans="1:14" s="509" customFormat="1" ht="15" customHeight="1">
      <c r="B117" s="27"/>
      <c r="C117" s="27"/>
      <c r="D117" s="27"/>
      <c r="E117" s="523"/>
      <c r="F117" s="523"/>
      <c r="G117" s="79"/>
      <c r="H117" s="871"/>
      <c r="I117" s="79"/>
      <c r="N117" s="871"/>
    </row>
    <row r="118" spans="1:14">
      <c r="G118" s="79"/>
      <c r="H118" s="871"/>
      <c r="I118" s="79"/>
    </row>
    <row r="119" spans="1:14">
      <c r="G119" s="79"/>
      <c r="H119" s="871"/>
      <c r="I119" s="79"/>
    </row>
    <row r="120" spans="1:14">
      <c r="G120" s="79"/>
      <c r="H120" s="871"/>
      <c r="I120" s="79"/>
    </row>
    <row r="121" spans="1:14">
      <c r="G121" s="79"/>
      <c r="H121" s="871"/>
      <c r="I121" s="79"/>
    </row>
    <row r="122" spans="1:14">
      <c r="G122" s="79"/>
      <c r="H122" s="871"/>
      <c r="I122" s="79"/>
    </row>
    <row r="123" spans="1:14">
      <c r="G123" s="27"/>
      <c r="H123" s="26"/>
      <c r="I123" s="27"/>
    </row>
    <row r="124" spans="1:14">
      <c r="G124" s="27"/>
      <c r="H124" s="26"/>
      <c r="I124" s="27"/>
    </row>
    <row r="125" spans="1:14">
      <c r="G125" s="27"/>
      <c r="H125" s="26"/>
      <c r="I125" s="27"/>
    </row>
    <row r="126" spans="1:14">
      <c r="G126" s="27"/>
      <c r="H126" s="26"/>
      <c r="I126" s="27"/>
    </row>
    <row r="127" spans="1:14">
      <c r="G127" s="27"/>
      <c r="H127" s="26"/>
      <c r="I127" s="27"/>
    </row>
    <row r="128" spans="1:14">
      <c r="G128" s="27"/>
      <c r="H128" s="26"/>
      <c r="I128" s="27"/>
    </row>
  </sheetData>
  <sheetProtection password="CEBA" sheet="1" objects="1" scenarios="1"/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zoomScaleNormal="100" workbookViewId="0">
      <selection activeCell="I41" sqref="I41"/>
    </sheetView>
  </sheetViews>
  <sheetFormatPr baseColWidth="10" defaultRowHeight="14.4"/>
  <cols>
    <col min="1" max="1" width="1.6640625" customWidth="1"/>
    <col min="2" max="2" width="48.6640625" customWidth="1"/>
    <col min="3" max="3" width="9.6640625" customWidth="1"/>
    <col min="4" max="4" width="17.109375" customWidth="1"/>
    <col min="5" max="5" width="9.6640625" style="8" customWidth="1"/>
    <col min="6" max="6" width="20.6640625" style="8" customWidth="1"/>
    <col min="7" max="7" width="17.109375" style="11" customWidth="1"/>
    <col min="8" max="8" width="19.6640625" customWidth="1"/>
    <col min="9" max="9" width="17.109375" customWidth="1"/>
  </cols>
  <sheetData>
    <row r="1" spans="1:14" ht="15.6">
      <c r="A1" s="485"/>
      <c r="B1" s="486"/>
      <c r="C1" s="486"/>
      <c r="D1" s="516"/>
      <c r="E1" s="517"/>
      <c r="F1" s="517"/>
      <c r="G1" s="518"/>
      <c r="H1" s="487" t="s">
        <v>269</v>
      </c>
      <c r="I1" s="31"/>
      <c r="J1" s="18"/>
      <c r="K1" s="18"/>
      <c r="L1" s="18"/>
      <c r="M1" s="18"/>
      <c r="N1" s="18"/>
    </row>
    <row r="2" spans="1:14" ht="15" customHeight="1">
      <c r="A2" s="414"/>
      <c r="B2" s="139" t="s">
        <v>122</v>
      </c>
      <c r="C2" s="140" t="s">
        <v>875</v>
      </c>
      <c r="D2" s="136"/>
      <c r="E2" s="141"/>
      <c r="F2" s="141"/>
      <c r="G2" s="136"/>
      <c r="H2" s="519"/>
      <c r="I2" s="30"/>
      <c r="J2" s="18"/>
      <c r="K2" s="18"/>
      <c r="L2" s="18"/>
      <c r="M2" s="18"/>
      <c r="N2" s="18"/>
    </row>
    <row r="3" spans="1:14" ht="15" customHeight="1">
      <c r="A3" s="414"/>
      <c r="B3" s="122" t="s">
        <v>2059</v>
      </c>
      <c r="C3" s="822" t="s">
        <v>1140</v>
      </c>
      <c r="D3" s="136"/>
      <c r="E3" s="141"/>
      <c r="F3" s="141"/>
      <c r="G3" s="136"/>
      <c r="H3" s="519"/>
      <c r="I3" s="30"/>
      <c r="J3" s="18"/>
      <c r="K3" s="18"/>
      <c r="L3" s="18"/>
      <c r="M3" s="18"/>
      <c r="N3" s="18"/>
    </row>
    <row r="4" spans="1:14">
      <c r="A4" s="414"/>
      <c r="B4" s="122" t="s">
        <v>57</v>
      </c>
      <c r="C4" s="124" t="s">
        <v>602</v>
      </c>
      <c r="D4" s="145"/>
      <c r="E4" s="137"/>
      <c r="F4" s="137"/>
      <c r="G4" s="138"/>
      <c r="H4" s="522"/>
      <c r="I4" s="30"/>
      <c r="J4" s="18"/>
      <c r="K4" s="18"/>
      <c r="L4" s="18"/>
      <c r="M4" s="18"/>
      <c r="N4" s="18"/>
    </row>
    <row r="5" spans="1:14" ht="15.6">
      <c r="A5" s="414"/>
      <c r="B5" s="141"/>
      <c r="C5" s="146" t="s">
        <v>648</v>
      </c>
      <c r="D5" s="136"/>
      <c r="E5" s="141"/>
      <c r="F5" s="147"/>
      <c r="G5" s="136"/>
      <c r="H5" s="522"/>
      <c r="I5" s="30"/>
      <c r="K5" s="18"/>
      <c r="L5" s="18"/>
      <c r="M5" s="18"/>
      <c r="N5" s="18"/>
    </row>
    <row r="6" spans="1:14" ht="15.6">
      <c r="A6" s="414"/>
      <c r="B6" s="925"/>
      <c r="C6" s="124" t="s">
        <v>649</v>
      </c>
      <c r="D6" s="142"/>
      <c r="E6" s="141"/>
      <c r="F6" s="141"/>
      <c r="G6" s="136"/>
      <c r="H6" s="519"/>
      <c r="I6" s="30"/>
      <c r="J6" s="18"/>
      <c r="K6" s="42"/>
      <c r="L6" s="18"/>
      <c r="M6" s="18"/>
      <c r="N6" s="18"/>
    </row>
    <row r="7" spans="1:14">
      <c r="A7" s="414"/>
      <c r="B7" s="925"/>
      <c r="C7" s="124"/>
      <c r="D7" s="142"/>
      <c r="E7" s="141"/>
      <c r="F7" s="141"/>
      <c r="G7" s="136"/>
      <c r="H7" s="519"/>
      <c r="I7" s="30"/>
      <c r="J7" s="18"/>
      <c r="K7" s="18"/>
      <c r="L7" s="18"/>
      <c r="M7" s="18"/>
      <c r="N7" s="18"/>
    </row>
    <row r="8" spans="1:14" ht="15.6">
      <c r="A8" s="414"/>
      <c r="B8" s="148"/>
      <c r="C8" s="136"/>
      <c r="D8" s="142"/>
      <c r="E8" s="141" t="s">
        <v>101</v>
      </c>
      <c r="F8" s="1055">
        <v>299792.45799999998</v>
      </c>
      <c r="G8" s="136" t="s">
        <v>5</v>
      </c>
      <c r="H8" s="519"/>
      <c r="I8" s="30"/>
      <c r="J8" s="18"/>
      <c r="L8" s="18"/>
      <c r="M8" s="18"/>
      <c r="N8" s="18"/>
    </row>
    <row r="9" spans="1:14" ht="15.6">
      <c r="A9" s="414"/>
      <c r="B9" s="141"/>
      <c r="C9" s="149"/>
      <c r="D9" s="150" t="s">
        <v>3</v>
      </c>
      <c r="E9" s="520"/>
      <c r="F9" s="520"/>
      <c r="G9" s="521"/>
      <c r="H9" s="519"/>
      <c r="I9" s="30"/>
      <c r="J9" s="18"/>
      <c r="K9" s="18"/>
      <c r="L9" s="18"/>
      <c r="M9" s="18"/>
      <c r="N9" s="18"/>
    </row>
    <row r="10" spans="1:14" ht="15.6">
      <c r="A10" s="414"/>
      <c r="B10" s="141" t="s">
        <v>661</v>
      </c>
      <c r="C10" s="141" t="s">
        <v>659</v>
      </c>
      <c r="D10" s="613">
        <v>0.8</v>
      </c>
      <c r="E10" s="141" t="s">
        <v>660</v>
      </c>
      <c r="F10" s="158">
        <f>D10*F8</f>
        <v>239833.9664</v>
      </c>
      <c r="G10" s="136" t="s">
        <v>5</v>
      </c>
      <c r="H10" s="519"/>
      <c r="I10" s="30"/>
      <c r="K10" s="18"/>
      <c r="L10" s="18"/>
      <c r="M10" s="18"/>
      <c r="N10" s="18"/>
    </row>
    <row r="11" spans="1:14" ht="15.6">
      <c r="A11" s="414"/>
      <c r="B11" s="141" t="s">
        <v>2032</v>
      </c>
      <c r="C11" s="141" t="s">
        <v>1</v>
      </c>
      <c r="D11" s="270">
        <v>20</v>
      </c>
      <c r="E11" s="136" t="s">
        <v>2318</v>
      </c>
      <c r="F11" s="148"/>
      <c r="G11" s="151"/>
      <c r="H11" s="524"/>
      <c r="I11" s="32"/>
      <c r="J11" s="18"/>
      <c r="K11" s="18"/>
      <c r="L11" s="18"/>
      <c r="M11" s="18"/>
      <c r="N11" s="18"/>
    </row>
    <row r="12" spans="1:14">
      <c r="A12" s="414"/>
      <c r="B12" s="824"/>
      <c r="C12" s="145"/>
      <c r="D12" s="142"/>
      <c r="E12" s="141"/>
      <c r="F12" s="141"/>
      <c r="G12" s="136"/>
      <c r="H12" s="519"/>
      <c r="I12" s="30"/>
      <c r="J12" s="18"/>
      <c r="K12" s="18"/>
      <c r="L12" s="18"/>
      <c r="M12" s="18"/>
      <c r="N12" s="18"/>
    </row>
    <row r="13" spans="1:14" ht="15.6">
      <c r="A13" s="414"/>
      <c r="B13" s="824"/>
      <c r="C13" s="145"/>
      <c r="D13" s="150" t="s">
        <v>4</v>
      </c>
      <c r="E13" s="141"/>
      <c r="F13" s="163"/>
      <c r="G13" s="136"/>
      <c r="H13" s="519"/>
      <c r="J13" s="18"/>
      <c r="K13" s="18"/>
      <c r="L13" s="18"/>
      <c r="M13" s="18"/>
      <c r="N13" s="18"/>
    </row>
    <row r="14" spans="1:14">
      <c r="A14" s="414"/>
      <c r="B14" s="141" t="s">
        <v>2033</v>
      </c>
      <c r="C14" s="141" t="s">
        <v>2</v>
      </c>
      <c r="D14" s="1453">
        <f>D11*(SQRT(1-((POWER(D10,2)))))</f>
        <v>11.999999999999996</v>
      </c>
      <c r="E14" s="136" t="s">
        <v>2318</v>
      </c>
      <c r="F14" s="98"/>
      <c r="G14" s="136"/>
      <c r="H14" s="519"/>
      <c r="I14" s="30"/>
      <c r="J14" s="18"/>
      <c r="K14" s="18"/>
      <c r="L14" s="18"/>
      <c r="M14" s="18"/>
      <c r="N14" s="18"/>
    </row>
    <row r="15" spans="1:14">
      <c r="A15" s="414"/>
      <c r="B15" s="142"/>
      <c r="C15" s="142"/>
      <c r="D15" s="142"/>
      <c r="E15" s="141"/>
      <c r="F15" s="164"/>
      <c r="G15" s="136"/>
      <c r="H15" s="519"/>
      <c r="I15" s="30"/>
      <c r="J15" s="18"/>
      <c r="K15" s="18"/>
      <c r="L15" s="18"/>
      <c r="M15" s="18"/>
      <c r="N15" s="18"/>
    </row>
    <row r="16" spans="1:14" ht="15.6">
      <c r="A16" s="414"/>
      <c r="B16" s="141" t="s">
        <v>1094</v>
      </c>
      <c r="C16" s="150"/>
      <c r="D16" s="142"/>
      <c r="E16" s="141"/>
      <c r="F16" s="141"/>
      <c r="G16" s="136"/>
      <c r="H16" s="519"/>
      <c r="I16" s="30"/>
      <c r="J16" s="18"/>
      <c r="K16" s="18"/>
      <c r="L16" s="18"/>
      <c r="M16" s="18"/>
      <c r="N16" s="18"/>
    </row>
    <row r="17" spans="1:14">
      <c r="A17" s="414"/>
      <c r="B17" s="111" t="s">
        <v>662</v>
      </c>
      <c r="C17" s="141" t="s">
        <v>1223</v>
      </c>
      <c r="D17" s="1453">
        <f>D11-D14</f>
        <v>8.0000000000000036</v>
      </c>
      <c r="E17" s="136" t="s">
        <v>2318</v>
      </c>
      <c r="F17" s="165"/>
      <c r="G17" s="136"/>
      <c r="H17" s="519"/>
      <c r="I17" s="30"/>
      <c r="J17" s="18"/>
      <c r="K17" s="18"/>
      <c r="L17" s="18"/>
      <c r="M17" s="18"/>
      <c r="N17" s="18"/>
    </row>
    <row r="18" spans="1:14" ht="15.6">
      <c r="A18" s="414"/>
      <c r="B18" s="925"/>
      <c r="C18" s="150"/>
      <c r="D18" s="142"/>
      <c r="E18" s="141"/>
      <c r="F18" s="141"/>
      <c r="G18" s="136"/>
      <c r="H18" s="519"/>
      <c r="I18" s="30"/>
      <c r="J18" s="18"/>
      <c r="K18" s="18"/>
      <c r="L18" s="18"/>
      <c r="M18" s="18"/>
      <c r="N18" s="18"/>
    </row>
    <row r="19" spans="1:14">
      <c r="A19" s="414"/>
      <c r="B19" s="122" t="s">
        <v>157</v>
      </c>
      <c r="C19" s="124" t="s">
        <v>1600</v>
      </c>
      <c r="D19" s="143"/>
      <c r="E19" s="141"/>
      <c r="F19" s="137"/>
      <c r="G19" s="136"/>
      <c r="H19" s="519"/>
      <c r="I19" s="30"/>
      <c r="J19" s="18"/>
      <c r="K19" s="18"/>
      <c r="L19" s="18"/>
      <c r="M19" s="18"/>
      <c r="N19" s="18"/>
    </row>
    <row r="20" spans="1:14">
      <c r="A20" s="414"/>
      <c r="B20" s="143"/>
      <c r="C20" s="124" t="s">
        <v>1601</v>
      </c>
      <c r="D20" s="143"/>
      <c r="E20" s="141"/>
      <c r="F20" s="137"/>
      <c r="G20" s="136"/>
      <c r="H20" s="519"/>
      <c r="I20" s="30"/>
      <c r="J20" s="18"/>
      <c r="K20" s="18"/>
      <c r="L20" s="18"/>
      <c r="M20" s="18"/>
      <c r="N20" s="18"/>
    </row>
    <row r="21" spans="1:14">
      <c r="A21" s="414"/>
      <c r="B21" s="143"/>
      <c r="C21" s="124" t="s">
        <v>1562</v>
      </c>
      <c r="D21" s="142"/>
      <c r="E21" s="141"/>
      <c r="F21" s="137"/>
      <c r="G21" s="136"/>
      <c r="H21" s="519"/>
      <c r="I21" s="30"/>
      <c r="J21" s="18"/>
      <c r="K21" s="18"/>
      <c r="L21" s="18"/>
      <c r="M21" s="18"/>
      <c r="N21" s="18"/>
    </row>
    <row r="22" spans="1:14">
      <c r="A22" s="414"/>
      <c r="B22" s="122" t="s">
        <v>154</v>
      </c>
      <c r="C22" s="124" t="s">
        <v>156</v>
      </c>
      <c r="D22" s="142"/>
      <c r="E22" s="141"/>
      <c r="F22" s="137"/>
      <c r="G22" s="136"/>
      <c r="H22" s="519"/>
      <c r="I22" s="30"/>
      <c r="J22" s="18"/>
      <c r="K22" s="18"/>
      <c r="L22" s="18"/>
      <c r="M22" s="18"/>
      <c r="N22" s="18"/>
    </row>
    <row r="23" spans="1:14">
      <c r="A23" s="414"/>
      <c r="B23" s="925"/>
      <c r="C23" s="145"/>
      <c r="D23" s="142"/>
      <c r="E23" s="141"/>
      <c r="F23" s="137"/>
      <c r="G23" s="136"/>
      <c r="H23" s="526"/>
      <c r="I23" s="30"/>
      <c r="J23" s="18"/>
      <c r="K23" s="18"/>
      <c r="L23" s="18"/>
      <c r="M23" s="18"/>
      <c r="N23" s="18"/>
    </row>
    <row r="24" spans="1:14">
      <c r="A24" s="414"/>
      <c r="B24" s="824"/>
      <c r="C24" s="142"/>
      <c r="D24" s="142"/>
      <c r="E24" s="137"/>
      <c r="F24" s="137"/>
      <c r="G24" s="136"/>
      <c r="H24" s="522"/>
      <c r="I24" s="30"/>
      <c r="J24" s="18"/>
      <c r="K24" s="18"/>
      <c r="L24" s="18"/>
      <c r="M24" s="18"/>
      <c r="N24" s="18"/>
    </row>
    <row r="25" spans="1:14">
      <c r="A25" s="414"/>
      <c r="B25" s="824"/>
      <c r="C25" s="142"/>
      <c r="D25" s="142"/>
      <c r="E25" s="141"/>
      <c r="F25" s="137"/>
      <c r="G25" s="136"/>
      <c r="H25" s="519"/>
      <c r="I25" s="30"/>
      <c r="J25" s="18"/>
      <c r="K25" s="18"/>
      <c r="L25" s="18"/>
      <c r="M25" s="18"/>
      <c r="N25" s="18"/>
    </row>
    <row r="26" spans="1:14">
      <c r="A26" s="414"/>
      <c r="B26" s="142"/>
      <c r="C26" s="152"/>
      <c r="D26" s="153"/>
      <c r="E26" s="154"/>
      <c r="F26" s="154"/>
      <c r="G26" s="521"/>
      <c r="H26" s="527"/>
      <c r="I26" s="33"/>
      <c r="J26" s="18"/>
      <c r="K26" s="18"/>
      <c r="L26" s="18"/>
      <c r="M26" s="18"/>
      <c r="N26" s="18"/>
    </row>
    <row r="27" spans="1:14">
      <c r="A27" s="414"/>
      <c r="B27" s="142"/>
      <c r="C27" s="152"/>
      <c r="D27" s="153"/>
      <c r="E27" s="1872" t="s">
        <v>435</v>
      </c>
      <c r="F27" s="155"/>
      <c r="G27" s="156"/>
      <c r="H27" s="527"/>
      <c r="I27" s="33"/>
      <c r="J27" s="18"/>
      <c r="K27" s="18"/>
      <c r="M27" s="18"/>
      <c r="N27" s="18"/>
    </row>
    <row r="28" spans="1:14">
      <c r="A28" s="414"/>
      <c r="B28" s="142"/>
      <c r="C28" s="152"/>
      <c r="D28" s="153"/>
      <c r="E28" s="154"/>
      <c r="F28" s="154"/>
      <c r="G28" s="156"/>
      <c r="H28" s="527"/>
      <c r="I28" s="33"/>
      <c r="J28" s="18"/>
      <c r="K28" s="18"/>
      <c r="L28" s="18"/>
      <c r="M28" s="18"/>
      <c r="N28" s="18"/>
    </row>
    <row r="29" spans="1:14">
      <c r="A29" s="414"/>
      <c r="B29" s="142"/>
      <c r="C29" s="152"/>
      <c r="D29" s="153"/>
      <c r="E29" s="154"/>
      <c r="F29" s="154"/>
      <c r="G29" s="156"/>
      <c r="H29" s="527"/>
      <c r="I29" s="33"/>
      <c r="J29" s="18"/>
      <c r="K29" s="18"/>
      <c r="L29" s="18"/>
      <c r="M29" s="18"/>
      <c r="N29" s="18"/>
    </row>
    <row r="30" spans="1:14">
      <c r="A30" s="414"/>
      <c r="B30" s="142"/>
      <c r="C30" s="152"/>
      <c r="D30" s="153"/>
      <c r="E30" s="154"/>
      <c r="F30" s="154"/>
      <c r="G30" s="156"/>
      <c r="H30" s="527"/>
      <c r="I30" s="33"/>
      <c r="J30" s="18"/>
      <c r="K30" s="18"/>
      <c r="L30" s="18"/>
      <c r="M30" s="18"/>
      <c r="N30" s="18"/>
    </row>
    <row r="31" spans="1:14">
      <c r="A31" s="414"/>
      <c r="B31" s="142"/>
      <c r="C31" s="152"/>
      <c r="D31" s="153"/>
      <c r="E31" s="520"/>
      <c r="F31" s="520"/>
      <c r="G31" s="156"/>
      <c r="H31" s="527"/>
      <c r="I31" s="33"/>
      <c r="J31" s="18"/>
      <c r="K31" s="18"/>
      <c r="L31" s="18"/>
      <c r="M31" s="18"/>
      <c r="N31" s="18"/>
    </row>
    <row r="32" spans="1:14">
      <c r="A32" s="414"/>
      <c r="B32" s="107"/>
      <c r="C32" s="107"/>
      <c r="D32" s="153"/>
      <c r="E32" s="154"/>
      <c r="F32" s="154"/>
      <c r="G32" s="156"/>
      <c r="H32" s="527"/>
      <c r="I32" s="33"/>
      <c r="J32" s="18"/>
      <c r="K32" s="18"/>
      <c r="L32" s="18"/>
      <c r="M32" s="18"/>
      <c r="N32" s="18"/>
    </row>
    <row r="33" spans="1:14">
      <c r="A33" s="414"/>
      <c r="B33" s="107"/>
      <c r="C33" s="107"/>
      <c r="D33" s="142"/>
      <c r="E33" s="137"/>
      <c r="F33" s="141"/>
      <c r="G33" s="136"/>
      <c r="H33" s="519"/>
      <c r="I33" s="30"/>
      <c r="J33" s="18"/>
      <c r="K33" s="18"/>
      <c r="L33" s="18"/>
      <c r="M33" s="18"/>
      <c r="N33" s="18"/>
    </row>
    <row r="34" spans="1:14">
      <c r="A34" s="414"/>
      <c r="B34" s="122" t="s">
        <v>155</v>
      </c>
      <c r="C34" s="124" t="s">
        <v>1837</v>
      </c>
      <c r="D34" s="142"/>
      <c r="E34" s="141"/>
      <c r="F34" s="141"/>
      <c r="G34" s="136"/>
      <c r="H34" s="519"/>
      <c r="I34" s="30"/>
      <c r="J34" s="18"/>
      <c r="K34" s="18"/>
      <c r="L34" s="18"/>
      <c r="M34" s="18"/>
      <c r="N34" s="18"/>
    </row>
    <row r="35" spans="1:14">
      <c r="A35" s="414"/>
      <c r="B35" s="107"/>
      <c r="C35" s="273" t="s">
        <v>1838</v>
      </c>
      <c r="D35" s="142"/>
      <c r="E35" s="141"/>
      <c r="F35" s="141"/>
      <c r="G35" s="136"/>
      <c r="H35" s="519"/>
      <c r="I35" s="30"/>
      <c r="J35" s="18"/>
      <c r="K35" s="18"/>
      <c r="L35" s="18"/>
      <c r="M35" s="18"/>
      <c r="N35" s="18"/>
    </row>
    <row r="36" spans="1:14">
      <c r="A36" s="414"/>
      <c r="B36" s="107"/>
      <c r="C36" s="273" t="s">
        <v>2953</v>
      </c>
      <c r="D36" s="142"/>
      <c r="E36" s="141"/>
      <c r="F36" s="141"/>
      <c r="G36" s="136"/>
      <c r="H36" s="519"/>
      <c r="I36" s="30"/>
      <c r="J36" s="18"/>
      <c r="K36" s="18"/>
      <c r="L36" s="18"/>
      <c r="M36" s="18"/>
      <c r="N36" s="18"/>
    </row>
    <row r="37" spans="1:14">
      <c r="A37" s="414"/>
      <c r="B37" s="107"/>
      <c r="C37" s="273" t="s">
        <v>1563</v>
      </c>
      <c r="D37" s="142"/>
      <c r="E37" s="141"/>
      <c r="F37" s="141"/>
      <c r="G37" s="136"/>
      <c r="H37" s="519"/>
      <c r="I37" s="30"/>
      <c r="J37" s="18"/>
      <c r="K37" s="18"/>
      <c r="L37" s="18"/>
      <c r="M37" s="18"/>
      <c r="N37" s="18"/>
    </row>
    <row r="38" spans="1:14">
      <c r="A38" s="389"/>
      <c r="B38" s="395"/>
      <c r="C38" s="395"/>
      <c r="D38" s="395"/>
      <c r="E38" s="553"/>
      <c r="F38" s="553"/>
      <c r="G38" s="535"/>
      <c r="H38" s="536"/>
      <c r="I38" s="30"/>
      <c r="J38" s="18"/>
      <c r="K38" s="18"/>
      <c r="L38" s="18"/>
      <c r="M38" s="18"/>
      <c r="N38" s="18"/>
    </row>
    <row r="39" spans="1:14" ht="15.6">
      <c r="A39" s="485"/>
      <c r="B39" s="830"/>
      <c r="C39" s="516"/>
      <c r="D39" s="529"/>
      <c r="E39" s="530"/>
      <c r="F39" s="530"/>
      <c r="G39" s="516"/>
      <c r="H39" s="487" t="s">
        <v>270</v>
      </c>
      <c r="I39" s="30"/>
      <c r="J39" s="18"/>
      <c r="K39" s="18"/>
      <c r="L39" s="18"/>
      <c r="M39" s="18"/>
      <c r="N39" s="18"/>
    </row>
    <row r="40" spans="1:14">
      <c r="A40" s="414"/>
      <c r="B40" s="122" t="s">
        <v>158</v>
      </c>
      <c r="C40" s="273" t="s">
        <v>2213</v>
      </c>
      <c r="D40" s="142"/>
      <c r="E40" s="141"/>
      <c r="F40" s="141"/>
      <c r="G40" s="136"/>
      <c r="H40" s="519"/>
      <c r="I40" s="30"/>
      <c r="J40" s="4"/>
      <c r="K40" s="4"/>
      <c r="L40" s="4"/>
      <c r="M40" s="4"/>
      <c r="N40" s="4"/>
    </row>
    <row r="41" spans="1:14">
      <c r="A41" s="414"/>
      <c r="B41" s="824"/>
      <c r="C41" s="124" t="s">
        <v>2899</v>
      </c>
      <c r="D41" s="142"/>
      <c r="E41" s="141"/>
      <c r="F41" s="141"/>
      <c r="G41" s="136"/>
      <c r="H41" s="519"/>
      <c r="I41" s="30"/>
      <c r="J41" s="4"/>
      <c r="K41" s="4"/>
      <c r="L41" s="4"/>
      <c r="M41" s="4"/>
      <c r="N41" s="4"/>
    </row>
    <row r="42" spans="1:14">
      <c r="A42" s="414"/>
      <c r="B42" s="824"/>
      <c r="C42" s="124" t="s">
        <v>2900</v>
      </c>
      <c r="D42" s="142"/>
      <c r="E42" s="141"/>
      <c r="F42" s="141"/>
      <c r="G42" s="136"/>
      <c r="H42" s="519"/>
      <c r="I42" s="30"/>
      <c r="J42" s="4"/>
      <c r="K42" s="4"/>
      <c r="L42" s="4"/>
      <c r="M42" s="4"/>
      <c r="N42" s="4"/>
    </row>
    <row r="43" spans="1:14">
      <c r="A43" s="414"/>
      <c r="B43" s="824"/>
      <c r="C43" s="124" t="s">
        <v>1564</v>
      </c>
      <c r="D43" s="142"/>
      <c r="E43" s="141"/>
      <c r="F43" s="141"/>
      <c r="G43" s="136"/>
      <c r="H43" s="519"/>
      <c r="I43" s="30"/>
      <c r="J43" s="4"/>
      <c r="K43" s="4"/>
      <c r="L43" s="4"/>
      <c r="M43" s="4"/>
      <c r="N43" s="4"/>
    </row>
    <row r="44" spans="1:14">
      <c r="A44" s="414"/>
      <c r="B44" s="107"/>
      <c r="C44" s="273"/>
      <c r="D44" s="107"/>
      <c r="E44" s="822"/>
      <c r="F44" s="1378" t="s">
        <v>1839</v>
      </c>
      <c r="G44" s="521"/>
      <c r="H44" s="417"/>
    </row>
    <row r="45" spans="1:14">
      <c r="A45" s="414"/>
      <c r="B45" s="932" t="s">
        <v>1840</v>
      </c>
      <c r="C45" s="531" t="s">
        <v>267</v>
      </c>
      <c r="D45" s="107"/>
      <c r="E45" s="520"/>
      <c r="F45" s="520"/>
      <c r="G45" s="521"/>
      <c r="H45" s="417"/>
    </row>
    <row r="46" spans="1:14">
      <c r="A46" s="414"/>
      <c r="B46" s="933" t="s">
        <v>1836</v>
      </c>
      <c r="C46" s="531" t="s">
        <v>268</v>
      </c>
      <c r="D46" s="107"/>
      <c r="E46" s="520"/>
      <c r="F46" s="520"/>
      <c r="G46" s="521"/>
      <c r="H46" s="417"/>
    </row>
    <row r="47" spans="1:14">
      <c r="A47" s="414"/>
      <c r="C47" s="107"/>
      <c r="D47" s="107"/>
      <c r="E47" s="520"/>
      <c r="F47" s="520"/>
      <c r="G47" s="521"/>
      <c r="H47" s="417"/>
    </row>
    <row r="48" spans="1:14">
      <c r="A48" s="414"/>
      <c r="B48" s="1379" t="s">
        <v>2342</v>
      </c>
      <c r="C48" s="107"/>
      <c r="D48" s="107"/>
      <c r="E48" s="520"/>
      <c r="F48" s="520"/>
      <c r="G48" s="521"/>
      <c r="H48" s="417"/>
    </row>
    <row r="49" spans="1:8">
      <c r="A49" s="414"/>
      <c r="B49" s="1380" t="s">
        <v>2343</v>
      </c>
      <c r="C49" s="107"/>
      <c r="D49" s="107"/>
      <c r="E49" s="520"/>
      <c r="F49" s="520"/>
      <c r="G49" s="521"/>
      <c r="H49" s="417"/>
    </row>
    <row r="50" spans="1:8">
      <c r="A50" s="414"/>
      <c r="B50" s="107"/>
      <c r="C50" s="107"/>
      <c r="D50" s="107"/>
      <c r="E50" s="520"/>
      <c r="F50" s="520"/>
      <c r="G50" s="521"/>
      <c r="H50" s="417"/>
    </row>
    <row r="51" spans="1:8">
      <c r="A51" s="414"/>
      <c r="B51" s="1873" t="s">
        <v>435</v>
      </c>
      <c r="C51" s="107"/>
      <c r="D51" s="107"/>
      <c r="E51" s="520"/>
      <c r="F51" s="520"/>
      <c r="G51" s="521"/>
      <c r="H51" s="417"/>
    </row>
    <row r="52" spans="1:8">
      <c r="A52" s="414"/>
      <c r="B52" s="2324" t="s">
        <v>2954</v>
      </c>
      <c r="C52" s="107"/>
      <c r="D52" s="107"/>
      <c r="E52" s="520"/>
      <c r="F52" s="520"/>
      <c r="G52" s="521"/>
      <c r="H52" s="417"/>
    </row>
    <row r="53" spans="1:8">
      <c r="A53" s="414"/>
      <c r="C53" s="107"/>
      <c r="D53" s="107"/>
      <c r="E53" s="520"/>
      <c r="F53" s="520"/>
      <c r="G53" s="521"/>
      <c r="H53" s="417"/>
    </row>
    <row r="54" spans="1:8">
      <c r="A54" s="414"/>
      <c r="B54" s="351" t="s">
        <v>271</v>
      </c>
      <c r="C54" s="107"/>
      <c r="D54" s="107"/>
      <c r="E54" s="520"/>
      <c r="F54" s="520"/>
      <c r="G54" s="521"/>
      <c r="H54" s="417"/>
    </row>
    <row r="55" spans="1:8">
      <c r="A55" s="414"/>
      <c r="B55" s="108" t="s">
        <v>1588</v>
      </c>
      <c r="C55" s="107"/>
      <c r="D55" s="107"/>
      <c r="E55" s="520"/>
      <c r="F55" s="520"/>
      <c r="G55" s="521"/>
      <c r="H55" s="417"/>
    </row>
    <row r="56" spans="1:8">
      <c r="A56" s="414"/>
      <c r="B56" s="108" t="s">
        <v>1587</v>
      </c>
      <c r="C56" s="107"/>
      <c r="D56" s="107"/>
      <c r="E56" s="520"/>
      <c r="F56" s="520"/>
      <c r="G56" s="521"/>
      <c r="H56" s="417"/>
    </row>
    <row r="57" spans="1:8">
      <c r="A57" s="414"/>
      <c r="B57" s="108" t="s">
        <v>1589</v>
      </c>
      <c r="C57" s="107"/>
      <c r="D57" s="107"/>
      <c r="E57" s="520"/>
      <c r="F57" s="520"/>
      <c r="G57" s="521"/>
      <c r="H57" s="417"/>
    </row>
    <row r="58" spans="1:8">
      <c r="A58" s="414"/>
      <c r="B58" s="70" t="s">
        <v>1894</v>
      </c>
      <c r="C58" s="107"/>
      <c r="D58" s="107"/>
      <c r="E58" s="520"/>
      <c r="F58" s="520"/>
      <c r="G58" s="521"/>
      <c r="H58" s="417"/>
    </row>
    <row r="59" spans="1:8">
      <c r="A59" s="414"/>
      <c r="B59" s="107"/>
      <c r="C59" s="107"/>
      <c r="D59" s="107"/>
      <c r="E59" s="520"/>
      <c r="F59" s="520"/>
      <c r="G59" s="521"/>
      <c r="H59" s="417"/>
    </row>
    <row r="60" spans="1:8">
      <c r="A60" s="414"/>
      <c r="B60" s="122" t="s">
        <v>853</v>
      </c>
      <c r="C60" s="585" t="s">
        <v>2319</v>
      </c>
      <c r="D60" s="124" t="s">
        <v>2037</v>
      </c>
      <c r="E60" s="520"/>
      <c r="F60" s="520"/>
      <c r="G60" s="521"/>
      <c r="H60" s="417"/>
    </row>
    <row r="61" spans="1:8">
      <c r="A61" s="414"/>
      <c r="B61" s="122" t="s">
        <v>854</v>
      </c>
      <c r="C61" s="585" t="s">
        <v>2319</v>
      </c>
      <c r="D61" s="124" t="s">
        <v>2038</v>
      </c>
      <c r="E61" s="520"/>
      <c r="F61" s="520"/>
      <c r="G61" s="521"/>
      <c r="H61" s="417"/>
    </row>
    <row r="62" spans="1:8">
      <c r="A62" s="414"/>
      <c r="B62" s="107"/>
      <c r="C62" s="157"/>
      <c r="D62" s="124"/>
      <c r="E62" s="520"/>
      <c r="F62" s="520"/>
      <c r="G62" s="521"/>
      <c r="H62" s="417"/>
    </row>
    <row r="63" spans="1:8">
      <c r="A63" s="414"/>
      <c r="B63" s="107"/>
      <c r="C63" s="124"/>
      <c r="D63" s="105" t="s">
        <v>3</v>
      </c>
      <c r="E63" s="520"/>
      <c r="F63" s="520"/>
      <c r="G63" s="521"/>
      <c r="H63" s="417"/>
    </row>
    <row r="64" spans="1:8">
      <c r="A64" s="414"/>
      <c r="B64" s="111" t="s">
        <v>165</v>
      </c>
      <c r="C64" s="117" t="s">
        <v>162</v>
      </c>
      <c r="D64" s="268">
        <v>1</v>
      </c>
      <c r="E64" s="110" t="s">
        <v>2318</v>
      </c>
      <c r="F64" s="520"/>
      <c r="G64" s="521"/>
      <c r="H64" s="417"/>
    </row>
    <row r="65" spans="1:8">
      <c r="A65" s="414"/>
      <c r="B65" s="107"/>
      <c r="C65" s="107"/>
      <c r="D65" s="107"/>
      <c r="E65" s="520"/>
      <c r="F65" s="520"/>
      <c r="G65" s="521"/>
      <c r="H65" s="417"/>
    </row>
    <row r="66" spans="1:8" ht="15" customHeight="1">
      <c r="A66" s="414"/>
      <c r="B66" s="111" t="s">
        <v>168</v>
      </c>
      <c r="C66" s="107"/>
      <c r="D66" s="105" t="s">
        <v>4</v>
      </c>
      <c r="E66" s="520"/>
      <c r="F66" s="159"/>
      <c r="G66" s="521"/>
      <c r="H66" s="417"/>
    </row>
    <row r="67" spans="1:8" ht="16.2">
      <c r="A67" s="414"/>
      <c r="B67" s="111" t="s">
        <v>1590</v>
      </c>
      <c r="C67" s="111" t="s">
        <v>160</v>
      </c>
      <c r="D67" s="1373">
        <f>SQRT((F8+F10)/(F8-F10))</f>
        <v>3.0000000000000004</v>
      </c>
      <c r="E67" s="110"/>
      <c r="F67" s="98"/>
      <c r="G67" s="144" t="s">
        <v>166</v>
      </c>
      <c r="H67" s="417"/>
    </row>
    <row r="68" spans="1:8">
      <c r="A68" s="414"/>
      <c r="B68" s="107"/>
      <c r="C68" s="107"/>
      <c r="D68" s="107"/>
      <c r="E68" s="520"/>
      <c r="F68" s="160"/>
      <c r="G68" s="521"/>
      <c r="H68" s="417"/>
    </row>
    <row r="69" spans="1:8" ht="15" customHeight="1">
      <c r="A69" s="414"/>
      <c r="B69" s="111" t="s">
        <v>169</v>
      </c>
      <c r="C69" s="107"/>
      <c r="D69" s="107"/>
      <c r="E69" s="520"/>
      <c r="F69" s="159"/>
      <c r="G69" s="521"/>
      <c r="H69" s="417"/>
    </row>
    <row r="70" spans="1:8" ht="16.2">
      <c r="A70" s="414"/>
      <c r="B70" s="111" t="s">
        <v>1591</v>
      </c>
      <c r="C70" s="111" t="s">
        <v>161</v>
      </c>
      <c r="D70" s="1373">
        <f>SQRT((F8-F10)/(F8+F10))</f>
        <v>0.33333333333333326</v>
      </c>
      <c r="E70" s="111"/>
      <c r="F70" s="161"/>
      <c r="G70" s="532" t="s">
        <v>167</v>
      </c>
      <c r="H70" s="417"/>
    </row>
    <row r="71" spans="1:8">
      <c r="A71" s="414"/>
      <c r="B71" s="107"/>
      <c r="C71" s="107"/>
      <c r="D71" s="107"/>
      <c r="E71" s="520"/>
      <c r="F71" s="160"/>
      <c r="G71" s="521"/>
      <c r="H71" s="417"/>
    </row>
    <row r="72" spans="1:8" ht="15" customHeight="1">
      <c r="A72" s="414"/>
      <c r="B72" s="107"/>
      <c r="C72" s="107"/>
      <c r="D72" s="107"/>
      <c r="E72" s="520"/>
      <c r="F72" s="107"/>
      <c r="G72" s="521"/>
      <c r="H72" s="417"/>
    </row>
    <row r="73" spans="1:8" ht="16.2">
      <c r="A73" s="414"/>
      <c r="B73" s="111" t="s">
        <v>1602</v>
      </c>
      <c r="C73" s="111" t="s">
        <v>163</v>
      </c>
      <c r="D73" s="1373">
        <f>D64*D67</f>
        <v>3.0000000000000004</v>
      </c>
      <c r="E73" s="110" t="s">
        <v>2318</v>
      </c>
      <c r="F73" s="162"/>
      <c r="G73" s="521"/>
      <c r="H73" s="417"/>
    </row>
    <row r="74" spans="1:8" ht="15" customHeight="1">
      <c r="A74" s="414"/>
      <c r="B74" s="99"/>
      <c r="C74" s="99"/>
      <c r="D74" s="99"/>
      <c r="E74" s="110"/>
      <c r="F74" s="106"/>
      <c r="G74" s="521"/>
      <c r="H74" s="417"/>
    </row>
    <row r="75" spans="1:8" ht="16.2">
      <c r="A75" s="414"/>
      <c r="B75" s="111" t="s">
        <v>1603</v>
      </c>
      <c r="C75" s="111" t="s">
        <v>164</v>
      </c>
      <c r="D75" s="1373">
        <f>D64*D70</f>
        <v>0.33333333333333326</v>
      </c>
      <c r="E75" s="110" t="s">
        <v>2318</v>
      </c>
      <c r="F75" s="162"/>
      <c r="G75" s="521"/>
      <c r="H75" s="417"/>
    </row>
    <row r="76" spans="1:8">
      <c r="A76" s="389"/>
      <c r="B76" s="395"/>
      <c r="C76" s="395"/>
      <c r="D76" s="395"/>
      <c r="E76" s="553"/>
      <c r="F76" s="553"/>
      <c r="G76" s="535"/>
      <c r="H76" s="536"/>
    </row>
    <row r="78" spans="1:8">
      <c r="F78"/>
    </row>
    <row r="79" spans="1:8">
      <c r="F79"/>
    </row>
  </sheetData>
  <sheetProtection password="CEBA" sheet="1" objects="1" scenarios="1"/>
  <pageMargins left="0" right="0" top="0" bottom="0" header="0.19685039370078741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Normal="100" workbookViewId="0">
      <selection activeCell="K40" sqref="K40"/>
    </sheetView>
  </sheetViews>
  <sheetFormatPr baseColWidth="10" defaultRowHeight="14.4"/>
  <cols>
    <col min="1" max="1" width="1.6640625" style="27" customWidth="1"/>
    <col min="2" max="2" width="64" customWidth="1"/>
    <col min="3" max="3" width="7.6640625" customWidth="1"/>
    <col min="4" max="4" width="12.6640625" customWidth="1"/>
    <col min="5" max="5" width="6.6640625" customWidth="1"/>
    <col min="6" max="6" width="12.6640625" customWidth="1"/>
    <col min="7" max="7" width="6.6640625" customWidth="1"/>
    <col min="8" max="8" width="30.6640625" customWidth="1"/>
    <col min="9" max="9" width="1.6640625" customWidth="1"/>
    <col min="10" max="10" width="5.5546875" customWidth="1"/>
    <col min="11" max="13" width="14.6640625" customWidth="1"/>
  </cols>
  <sheetData>
    <row r="1" spans="1:12" s="5" customFormat="1" ht="15.6">
      <c r="A1" s="896"/>
      <c r="B1" s="821" t="s">
        <v>301</v>
      </c>
      <c r="C1" s="555"/>
      <c r="D1" s="555"/>
      <c r="E1" s="555"/>
      <c r="F1" s="555"/>
      <c r="G1" s="555"/>
      <c r="H1" s="555"/>
      <c r="I1" s="487" t="s">
        <v>269</v>
      </c>
      <c r="K1"/>
    </row>
    <row r="2" spans="1:12" s="3" customFormat="1" ht="13.8">
      <c r="A2" s="394"/>
      <c r="B2" s="551" t="s">
        <v>302</v>
      </c>
      <c r="C2" s="99"/>
      <c r="D2" s="99"/>
      <c r="E2" s="99"/>
      <c r="F2" s="99"/>
      <c r="G2" s="99"/>
      <c r="H2" s="99"/>
      <c r="I2" s="490"/>
    </row>
    <row r="3" spans="1:12" s="3" customFormat="1" ht="13.8">
      <c r="A3" s="394"/>
      <c r="B3" s="551" t="s">
        <v>1121</v>
      </c>
      <c r="C3" s="1017"/>
      <c r="D3" s="1017"/>
      <c r="E3" s="2392" t="s">
        <v>570</v>
      </c>
      <c r="F3" s="1017"/>
      <c r="G3" s="1017"/>
      <c r="H3" s="99"/>
      <c r="I3" s="490"/>
    </row>
    <row r="4" spans="1:12" s="3" customFormat="1" ht="13.8">
      <c r="A4" s="394"/>
      <c r="B4" s="349" t="s">
        <v>1122</v>
      </c>
      <c r="C4" s="1017"/>
      <c r="D4" s="1017"/>
      <c r="E4" s="556" t="s">
        <v>571</v>
      </c>
      <c r="F4" s="2393"/>
      <c r="G4" s="2393"/>
      <c r="H4" s="99"/>
      <c r="I4" s="490"/>
    </row>
    <row r="5" spans="1:12" s="3" customFormat="1" ht="13.8">
      <c r="A5" s="394"/>
      <c r="B5" s="667"/>
      <c r="C5" s="99"/>
      <c r="D5" s="99"/>
      <c r="E5" s="342" t="s">
        <v>572</v>
      </c>
      <c r="F5" s="343"/>
      <c r="G5" s="343"/>
      <c r="H5" s="99"/>
      <c r="I5" s="490"/>
    </row>
    <row r="6" spans="1:12" s="3" customFormat="1">
      <c r="A6" s="394"/>
      <c r="B6" s="99"/>
      <c r="C6" s="99"/>
      <c r="D6" s="99"/>
      <c r="E6" s="342" t="s">
        <v>574</v>
      </c>
      <c r="F6" s="343"/>
      <c r="G6" s="343"/>
      <c r="H6" s="99"/>
      <c r="I6" s="490"/>
      <c r="L6"/>
    </row>
    <row r="7" spans="1:12" s="3" customFormat="1">
      <c r="A7" s="394"/>
      <c r="B7" s="99"/>
      <c r="C7" s="99"/>
      <c r="D7" s="99"/>
      <c r="E7" s="342" t="s">
        <v>573</v>
      </c>
      <c r="F7" s="343"/>
      <c r="G7" s="343"/>
      <c r="H7" s="107"/>
      <c r="I7" s="490"/>
    </row>
    <row r="8" spans="1:12" s="3" customFormat="1">
      <c r="A8" s="394"/>
      <c r="B8" s="99"/>
      <c r="C8" s="99"/>
      <c r="D8" s="99"/>
      <c r="E8" s="99"/>
      <c r="F8" s="343"/>
      <c r="G8" s="343"/>
      <c r="H8" s="99"/>
      <c r="I8" s="490"/>
      <c r="K8"/>
    </row>
    <row r="9" spans="1:12" s="3" customFormat="1" ht="14.25" customHeight="1">
      <c r="A9" s="394"/>
      <c r="B9" s="99"/>
      <c r="C9" s="1865" t="s">
        <v>434</v>
      </c>
      <c r="D9" s="99"/>
      <c r="E9" s="99"/>
      <c r="F9" s="99"/>
      <c r="G9" s="99"/>
      <c r="H9" s="26"/>
      <c r="I9" s="490"/>
    </row>
    <row r="10" spans="1:12" s="3" customFormat="1" ht="14.25" customHeight="1">
      <c r="A10" s="394"/>
      <c r="B10" s="99"/>
      <c r="C10" s="99"/>
      <c r="D10" s="99"/>
      <c r="E10" s="99"/>
      <c r="F10" s="99"/>
      <c r="G10" s="99"/>
      <c r="H10" s="344" t="s">
        <v>1109</v>
      </c>
      <c r="I10" s="490"/>
    </row>
    <row r="11" spans="1:12" s="3" customFormat="1" ht="14.25" customHeight="1">
      <c r="A11" s="394"/>
      <c r="B11" s="99"/>
      <c r="C11" s="1415" t="s">
        <v>1624</v>
      </c>
      <c r="D11" s="99"/>
      <c r="E11" s="99"/>
      <c r="F11" s="99"/>
      <c r="G11" s="99"/>
      <c r="H11" s="344"/>
      <c r="I11" s="490"/>
    </row>
    <row r="12" spans="1:12" s="3" customFormat="1" ht="14.25" customHeight="1">
      <c r="A12" s="394"/>
      <c r="B12" s="99"/>
      <c r="C12" s="835" t="s">
        <v>1269</v>
      </c>
      <c r="D12" s="99"/>
      <c r="E12" s="99"/>
      <c r="F12" s="99"/>
      <c r="G12" s="99"/>
      <c r="H12" s="99"/>
      <c r="I12" s="490"/>
      <c r="K12" s="1089"/>
    </row>
    <row r="13" spans="1:12" s="3" customFormat="1" ht="14.25" customHeight="1">
      <c r="A13" s="394"/>
      <c r="B13" s="26"/>
      <c r="C13" s="835" t="s">
        <v>1270</v>
      </c>
      <c r="D13" s="99"/>
      <c r="E13" s="99"/>
      <c r="F13" s="99"/>
      <c r="G13" s="99"/>
      <c r="H13" s="99"/>
      <c r="I13" s="490"/>
      <c r="L13"/>
    </row>
    <row r="14" spans="1:12" s="3" customFormat="1" ht="15.6">
      <c r="A14" s="394"/>
      <c r="B14" s="342" t="s">
        <v>771</v>
      </c>
      <c r="C14" s="835" t="s">
        <v>1271</v>
      </c>
      <c r="D14" s="99"/>
      <c r="E14" s="99"/>
      <c r="F14" s="99"/>
      <c r="G14" s="99"/>
      <c r="H14" s="99"/>
      <c r="I14" s="490"/>
    </row>
    <row r="15" spans="1:12" s="3" customFormat="1" ht="15.6">
      <c r="A15" s="394"/>
      <c r="B15" s="342" t="s">
        <v>864</v>
      </c>
      <c r="C15" s="835" t="s">
        <v>1272</v>
      </c>
      <c r="D15" s="99"/>
      <c r="E15" s="99"/>
      <c r="F15" s="99"/>
      <c r="G15" s="99"/>
      <c r="H15" s="99"/>
      <c r="I15" s="490"/>
      <c r="K15"/>
    </row>
    <row r="16" spans="1:12" s="3" customFormat="1">
      <c r="A16" s="394"/>
      <c r="B16" s="342" t="s">
        <v>865</v>
      </c>
      <c r="C16" s="953" t="s">
        <v>1273</v>
      </c>
      <c r="D16" s="99"/>
      <c r="E16" s="99"/>
      <c r="F16" s="99"/>
      <c r="G16" s="99"/>
      <c r="H16" s="107"/>
      <c r="I16" s="490"/>
    </row>
    <row r="17" spans="1:13" s="3" customFormat="1" ht="15.6">
      <c r="A17" s="394"/>
      <c r="B17" s="890" t="s">
        <v>768</v>
      </c>
      <c r="C17" s="835" t="s">
        <v>1274</v>
      </c>
      <c r="D17" s="99"/>
      <c r="E17" s="99"/>
      <c r="F17" s="99"/>
      <c r="G17" s="99"/>
      <c r="H17" s="99"/>
      <c r="I17" s="490"/>
      <c r="J17"/>
      <c r="K17"/>
    </row>
    <row r="18" spans="1:13" s="3" customFormat="1" ht="15.6">
      <c r="A18" s="394"/>
      <c r="B18" s="342" t="s">
        <v>769</v>
      </c>
      <c r="C18" s="835" t="s">
        <v>1275</v>
      </c>
      <c r="D18" s="99"/>
      <c r="E18" s="99"/>
      <c r="F18" s="99"/>
      <c r="G18" s="99"/>
      <c r="H18" s="99"/>
      <c r="I18" s="490"/>
    </row>
    <row r="19" spans="1:13" s="3" customFormat="1" ht="15.6">
      <c r="A19" s="394"/>
      <c r="B19" s="342" t="s">
        <v>770</v>
      </c>
      <c r="C19" s="835" t="s">
        <v>1276</v>
      </c>
      <c r="D19" s="99"/>
      <c r="E19" s="99"/>
      <c r="F19" s="99"/>
      <c r="G19" s="99"/>
      <c r="H19" s="99"/>
      <c r="I19" s="490"/>
    </row>
    <row r="20" spans="1:13" s="3" customFormat="1">
      <c r="A20" s="394"/>
      <c r="B20" s="344" t="s">
        <v>871</v>
      </c>
      <c r="C20" s="835" t="s">
        <v>1277</v>
      </c>
      <c r="D20" s="99"/>
      <c r="E20" s="99"/>
      <c r="F20" s="99"/>
      <c r="G20" s="99"/>
      <c r="H20" s="99"/>
      <c r="I20" s="490"/>
      <c r="K20"/>
    </row>
    <row r="21" spans="1:13" s="3" customFormat="1" ht="12" customHeight="1">
      <c r="A21" s="394"/>
      <c r="B21" s="99"/>
      <c r="C21" s="26"/>
      <c r="D21" s="99"/>
      <c r="E21" s="99"/>
      <c r="F21" s="99"/>
      <c r="G21" s="99"/>
      <c r="H21" s="99"/>
      <c r="I21" s="490"/>
    </row>
    <row r="22" spans="1:13" s="3" customFormat="1" ht="15" customHeight="1">
      <c r="A22" s="394"/>
      <c r="B22" s="99"/>
      <c r="C22" s="99"/>
      <c r="D22" s="105" t="s">
        <v>303</v>
      </c>
      <c r="E22" s="99"/>
      <c r="F22" s="351"/>
      <c r="G22" s="99"/>
      <c r="H22" s="557"/>
      <c r="I22" s="490"/>
    </row>
    <row r="23" spans="1:13" s="3" customFormat="1" ht="15" customHeight="1">
      <c r="A23" s="394"/>
      <c r="B23" s="111" t="s">
        <v>130</v>
      </c>
      <c r="C23" s="111" t="s">
        <v>101</v>
      </c>
      <c r="D23" s="67">
        <v>299792.45799999998</v>
      </c>
      <c r="E23" s="99" t="s">
        <v>684</v>
      </c>
      <c r="F23" s="99"/>
      <c r="G23" s="99"/>
      <c r="H23" s="99"/>
      <c r="I23" s="490"/>
      <c r="K23" s="16"/>
      <c r="L23"/>
    </row>
    <row r="24" spans="1:13" s="3" customFormat="1" ht="15" customHeight="1">
      <c r="A24" s="394"/>
      <c r="B24" s="99"/>
      <c r="C24" s="111" t="s">
        <v>1102</v>
      </c>
      <c r="D24" s="1454">
        <f xml:space="preserve"> D23*365.25*24*60*60</f>
        <v>9460730472580.7969</v>
      </c>
      <c r="E24" s="99" t="s">
        <v>1018</v>
      </c>
      <c r="F24" s="99"/>
      <c r="G24" s="26"/>
      <c r="H24" s="347"/>
      <c r="I24" s="490"/>
      <c r="K24" s="28"/>
      <c r="L24" s="886"/>
      <c r="M24" s="886"/>
    </row>
    <row r="25" spans="1:13" s="3" customFormat="1" ht="15" customHeight="1">
      <c r="A25" s="394"/>
      <c r="B25" s="99"/>
      <c r="C25" s="111" t="s">
        <v>1103</v>
      </c>
      <c r="D25" s="1455">
        <f>365.25*24*60*60</f>
        <v>31557600</v>
      </c>
      <c r="E25" s="99" t="s">
        <v>1112</v>
      </c>
      <c r="F25" s="99"/>
      <c r="G25" s="99"/>
      <c r="H25" s="347"/>
      <c r="I25" s="490"/>
      <c r="K25" s="640"/>
      <c r="L25" s="640"/>
      <c r="M25" s="640"/>
    </row>
    <row r="26" spans="1:13" s="3" customFormat="1" ht="12" customHeight="1">
      <c r="A26" s="394"/>
      <c r="B26" s="343"/>
      <c r="C26" s="99"/>
      <c r="D26" s="105"/>
      <c r="E26" s="99"/>
      <c r="F26" s="99"/>
      <c r="G26" s="26"/>
      <c r="H26" s="99"/>
      <c r="I26" s="558"/>
      <c r="K26" s="640"/>
      <c r="L26" s="640"/>
      <c r="M26" s="640"/>
    </row>
    <row r="27" spans="1:13" s="626" customFormat="1" ht="15" customHeight="1">
      <c r="A27" s="394"/>
      <c r="B27" s="99"/>
      <c r="C27" s="99"/>
      <c r="D27" s="105" t="s">
        <v>3</v>
      </c>
      <c r="E27" s="99"/>
      <c r="F27" s="99"/>
      <c r="G27" s="99"/>
      <c r="H27" s="99"/>
      <c r="I27" s="891"/>
      <c r="J27" s="4"/>
      <c r="K27" s="885"/>
      <c r="L27"/>
      <c r="M27" s="885"/>
    </row>
    <row r="28" spans="1:13" s="626" customFormat="1" ht="15" customHeight="1">
      <c r="A28" s="394"/>
      <c r="B28" s="111" t="s">
        <v>304</v>
      </c>
      <c r="C28" s="111" t="s">
        <v>296</v>
      </c>
      <c r="D28" s="751">
        <v>0.25</v>
      </c>
      <c r="E28" s="347"/>
      <c r="F28" s="99"/>
      <c r="G28" s="99"/>
      <c r="H28" s="614"/>
      <c r="I28" s="490"/>
      <c r="J28" s="4"/>
      <c r="K28" s="885"/>
      <c r="L28" s="885"/>
      <c r="M28" s="885"/>
    </row>
    <row r="29" spans="1:13" s="21" customFormat="1">
      <c r="A29" s="559"/>
      <c r="B29" s="111" t="s">
        <v>656</v>
      </c>
      <c r="C29" s="111" t="s">
        <v>6</v>
      </c>
      <c r="D29" s="1456">
        <f>D28*D23</f>
        <v>74948.114499999996</v>
      </c>
      <c r="E29" s="13" t="s">
        <v>684</v>
      </c>
      <c r="F29" s="1076"/>
      <c r="G29" s="13"/>
      <c r="H29" s="899"/>
      <c r="I29" s="891"/>
      <c r="K29" s="885"/>
      <c r="L29" s="885"/>
      <c r="M29" s="885"/>
    </row>
    <row r="30" spans="1:13" s="2" customFormat="1">
      <c r="A30" s="559"/>
      <c r="B30" s="99"/>
      <c r="C30" s="99"/>
      <c r="D30" s="99"/>
      <c r="E30" s="99"/>
      <c r="F30" s="99"/>
      <c r="G30" s="99"/>
      <c r="H30" s="99"/>
      <c r="I30" s="746"/>
      <c r="J30" s="21"/>
      <c r="L30" s="885"/>
      <c r="M30" s="885"/>
    </row>
    <row r="31" spans="1:13" s="2" customFormat="1">
      <c r="A31" s="559"/>
      <c r="B31" s="111" t="s">
        <v>411</v>
      </c>
      <c r="C31" s="111" t="s">
        <v>410</v>
      </c>
      <c r="D31" s="887">
        <f>1/(SQRT(1-(POWER(D28,2))))</f>
        <v>1.0327955589886444</v>
      </c>
      <c r="E31" s="99"/>
      <c r="F31" s="347"/>
      <c r="G31" s="347"/>
      <c r="H31" s="900"/>
      <c r="I31" s="746"/>
      <c r="J31" s="21"/>
      <c r="K31" s="885"/>
      <c r="L31" s="885"/>
      <c r="M31" s="885"/>
    </row>
    <row r="32" spans="1:13" s="2" customFormat="1">
      <c r="A32" s="559"/>
      <c r="B32" s="99"/>
      <c r="C32" s="99"/>
      <c r="D32" s="99"/>
      <c r="E32" s="99"/>
      <c r="F32" s="99"/>
      <c r="G32" s="99"/>
      <c r="H32" s="868"/>
      <c r="I32" s="746"/>
      <c r="J32" s="21"/>
      <c r="K32" s="885"/>
      <c r="L32" s="885"/>
      <c r="M32" s="885"/>
    </row>
    <row r="33" spans="1:19" s="2" customFormat="1">
      <c r="A33" s="559"/>
      <c r="B33" s="347"/>
      <c r="C33" s="347"/>
      <c r="D33" s="554" t="s">
        <v>764</v>
      </c>
      <c r="E33" s="347"/>
      <c r="F33" s="748" t="s">
        <v>765</v>
      </c>
      <c r="G33" s="347"/>
      <c r="H33" s="347"/>
      <c r="I33" s="746"/>
      <c r="J33" s="21"/>
      <c r="K33" s="885"/>
      <c r="L33" s="885"/>
      <c r="M33" s="885"/>
    </row>
    <row r="34" spans="1:19" s="2" customFormat="1">
      <c r="A34" s="559"/>
      <c r="B34" s="111" t="s">
        <v>767</v>
      </c>
      <c r="C34" s="111" t="s">
        <v>91</v>
      </c>
      <c r="D34" s="1090">
        <v>4</v>
      </c>
      <c r="E34" s="111" t="s">
        <v>761</v>
      </c>
      <c r="F34" s="1090"/>
      <c r="G34" s="99" t="s">
        <v>1110</v>
      </c>
      <c r="H34" s="557" t="s">
        <v>1628</v>
      </c>
      <c r="I34" s="490"/>
      <c r="L34"/>
    </row>
    <row r="35" spans="1:19" s="2" customFormat="1">
      <c r="A35" s="559"/>
      <c r="B35" s="111" t="s">
        <v>766</v>
      </c>
      <c r="C35" s="111" t="s">
        <v>1</v>
      </c>
      <c r="D35" s="268">
        <v>0</v>
      </c>
      <c r="E35" s="111" t="s">
        <v>653</v>
      </c>
      <c r="F35" s="1090"/>
      <c r="G35" s="99" t="s">
        <v>1111</v>
      </c>
      <c r="H35" s="337" t="s">
        <v>1629</v>
      </c>
      <c r="I35" s="490"/>
      <c r="L35"/>
      <c r="N35"/>
    </row>
    <row r="36" spans="1:19" s="2" customFormat="1">
      <c r="A36" s="559"/>
      <c r="B36" s="347"/>
      <c r="C36" s="111" t="s">
        <v>91</v>
      </c>
      <c r="D36" s="1457">
        <f>D34*D24</f>
        <v>37842921890323.187</v>
      </c>
      <c r="E36" s="111" t="s">
        <v>761</v>
      </c>
      <c r="F36" s="1457">
        <f>F34*D24</f>
        <v>0</v>
      </c>
      <c r="G36" s="99" t="s">
        <v>1018</v>
      </c>
      <c r="H36" s="337" t="s">
        <v>1626</v>
      </c>
      <c r="I36" s="490"/>
      <c r="K36" s="21"/>
      <c r="L36" s="21"/>
      <c r="M36" s="1072"/>
    </row>
    <row r="37" spans="1:19" s="2" customFormat="1">
      <c r="A37" s="559"/>
      <c r="B37" s="347"/>
      <c r="C37" s="111" t="s">
        <v>297</v>
      </c>
      <c r="D37" s="268">
        <v>0</v>
      </c>
      <c r="E37" s="111" t="s">
        <v>762</v>
      </c>
      <c r="F37" s="268"/>
      <c r="G37" s="99" t="s">
        <v>1110</v>
      </c>
      <c r="H37" s="1159" t="s">
        <v>1627</v>
      </c>
      <c r="I37" s="558"/>
      <c r="J37"/>
      <c r="K37" s="1067"/>
      <c r="L37" s="1068"/>
      <c r="M37" s="13"/>
    </row>
    <row r="38" spans="1:19" s="2" customFormat="1">
      <c r="A38" s="559"/>
      <c r="B38" s="557"/>
      <c r="C38" s="111" t="s">
        <v>65</v>
      </c>
      <c r="D38" s="268">
        <v>0</v>
      </c>
      <c r="E38" s="111" t="s">
        <v>763</v>
      </c>
      <c r="F38" s="268"/>
      <c r="G38" s="99" t="s">
        <v>1110</v>
      </c>
      <c r="H38" s="347"/>
      <c r="I38" s="558"/>
      <c r="K38" s="1069"/>
      <c r="L38" s="1077"/>
      <c r="M38" s="13"/>
    </row>
    <row r="39" spans="1:19" s="2" customFormat="1" ht="12" customHeight="1">
      <c r="A39" s="898"/>
      <c r="B39" s="572"/>
      <c r="C39" s="502"/>
      <c r="D39" s="749"/>
      <c r="E39" s="620"/>
      <c r="F39" s="502"/>
      <c r="G39" s="502"/>
      <c r="H39" s="461"/>
      <c r="I39" s="750"/>
      <c r="J39" s="21"/>
      <c r="K39" s="21"/>
      <c r="L39" s="1070"/>
      <c r="M39" s="13"/>
      <c r="N39" s="21"/>
      <c r="O39" s="21"/>
      <c r="P39" s="21"/>
      <c r="Q39" s="21"/>
      <c r="R39" s="21"/>
      <c r="S39" s="21"/>
    </row>
    <row r="40" spans="1:19" s="3" customFormat="1" ht="15.6">
      <c r="A40" s="500"/>
      <c r="B40" s="391"/>
      <c r="C40" s="391"/>
      <c r="D40" s="99"/>
      <c r="E40" s="2209" t="s">
        <v>2548</v>
      </c>
      <c r="F40" s="99"/>
      <c r="G40" s="391"/>
      <c r="H40" s="391"/>
      <c r="I40" s="487" t="s">
        <v>270</v>
      </c>
      <c r="K40" s="1071"/>
      <c r="L40" s="818"/>
      <c r="M40" s="626"/>
    </row>
    <row r="41" spans="1:19" s="3" customFormat="1">
      <c r="A41" s="394"/>
      <c r="B41" s="143" t="s">
        <v>867</v>
      </c>
      <c r="C41" s="26"/>
      <c r="E41" s="1022"/>
      <c r="G41" s="26"/>
      <c r="H41" s="144"/>
      <c r="I41" s="490"/>
      <c r="K41"/>
    </row>
    <row r="42" spans="1:19" s="3" customFormat="1">
      <c r="A42" s="394"/>
      <c r="B42" s="1061" t="s">
        <v>863</v>
      </c>
      <c r="C42" s="99"/>
      <c r="D42" s="1065" t="s">
        <v>1258</v>
      </c>
      <c r="E42" s="99"/>
      <c r="F42" s="1066" t="s">
        <v>1257</v>
      </c>
      <c r="G42" s="99"/>
      <c r="H42" s="123"/>
      <c r="I42" s="490"/>
      <c r="J42"/>
      <c r="K42"/>
      <c r="L42" s="699"/>
    </row>
    <row r="43" spans="1:19" s="3" customFormat="1">
      <c r="A43" s="394"/>
      <c r="B43" s="781" t="s">
        <v>1260</v>
      </c>
      <c r="C43" s="99"/>
      <c r="D43" s="99"/>
      <c r="E43" s="99"/>
      <c r="F43" s="99"/>
      <c r="G43" s="99"/>
      <c r="H43" s="99"/>
      <c r="I43" s="490"/>
      <c r="K43"/>
      <c r="L43" s="4"/>
    </row>
    <row r="44" spans="1:19" s="3" customFormat="1" ht="15" thickBot="1">
      <c r="A44" s="394"/>
      <c r="B44" s="781" t="s">
        <v>1261</v>
      </c>
      <c r="C44" s="1059" t="s">
        <v>1095</v>
      </c>
      <c r="D44" s="888"/>
      <c r="E44" s="889"/>
      <c r="F44" s="888"/>
      <c r="G44" s="1060" t="s">
        <v>1096</v>
      </c>
      <c r="H44" s="99"/>
      <c r="I44" s="490"/>
      <c r="K44"/>
      <c r="L44" s="1075"/>
      <c r="M44"/>
    </row>
    <row r="45" spans="1:19" s="3" customFormat="1">
      <c r="A45" s="394"/>
      <c r="B45" s="781" t="s">
        <v>1263</v>
      </c>
      <c r="C45" s="1057" t="s">
        <v>866</v>
      </c>
      <c r="D45" s="570" t="s">
        <v>1123</v>
      </c>
      <c r="E45" s="157" t="s">
        <v>868</v>
      </c>
      <c r="F45" s="826" t="s">
        <v>1124</v>
      </c>
      <c r="G45" s="1058" t="s">
        <v>159</v>
      </c>
      <c r="H45" s="99"/>
      <c r="I45" s="490"/>
      <c r="L45" s="626"/>
      <c r="M45"/>
    </row>
    <row r="46" spans="1:19" s="3" customFormat="1">
      <c r="A46" s="394"/>
      <c r="B46" s="781" t="s">
        <v>1262</v>
      </c>
      <c r="C46" s="99"/>
      <c r="D46" s="99"/>
      <c r="E46" s="99"/>
      <c r="F46" s="897"/>
      <c r="G46" s="99"/>
      <c r="H46" s="99"/>
      <c r="I46" s="490"/>
      <c r="K46"/>
    </row>
    <row r="47" spans="1:19" s="3" customFormat="1">
      <c r="A47" s="394"/>
      <c r="B47" s="781" t="s">
        <v>1264</v>
      </c>
      <c r="C47" s="26"/>
      <c r="D47" s="99"/>
      <c r="E47" s="26"/>
      <c r="F47" s="349"/>
      <c r="G47" s="26"/>
      <c r="H47" s="1092" t="s">
        <v>2130</v>
      </c>
      <c r="I47" s="490"/>
      <c r="K47"/>
    </row>
    <row r="48" spans="1:19" s="3" customFormat="1">
      <c r="A48" s="394"/>
      <c r="B48" s="781" t="s">
        <v>1265</v>
      </c>
      <c r="C48" s="99"/>
      <c r="D48" s="347"/>
      <c r="E48" s="349" t="s">
        <v>2549</v>
      </c>
      <c r="F48" s="26"/>
      <c r="G48" s="347"/>
      <c r="H48" s="1092" t="s">
        <v>2131</v>
      </c>
      <c r="I48" s="490"/>
      <c r="J48" s="626"/>
      <c r="K48" s="4"/>
      <c r="L48"/>
    </row>
    <row r="49" spans="1:15" s="3" customFormat="1">
      <c r="A49" s="394"/>
      <c r="B49" s="1061" t="s">
        <v>1259</v>
      </c>
      <c r="C49" s="99"/>
      <c r="D49" s="99"/>
      <c r="E49" s="26"/>
      <c r="F49" s="99"/>
      <c r="G49" s="99"/>
      <c r="H49" s="556" t="s">
        <v>2132</v>
      </c>
      <c r="I49" s="490"/>
      <c r="J49" s="626"/>
      <c r="K49" s="1073"/>
      <c r="L49"/>
      <c r="M49" s="626"/>
      <c r="N49" s="626"/>
    </row>
    <row r="50" spans="1:15" s="3" customFormat="1">
      <c r="A50" s="394"/>
      <c r="B50" s="835" t="s">
        <v>1266</v>
      </c>
      <c r="C50" s="99"/>
      <c r="D50" s="143" t="s">
        <v>4</v>
      </c>
      <c r="E50" s="99"/>
      <c r="F50" s="99"/>
      <c r="G50" s="99"/>
      <c r="I50" s="490"/>
      <c r="J50" s="626"/>
      <c r="K50" s="895"/>
      <c r="L50"/>
      <c r="M50" s="626"/>
      <c r="N50" s="626"/>
    </row>
    <row r="51" spans="1:15" s="3" customFormat="1">
      <c r="A51" s="394"/>
      <c r="B51" s="26"/>
      <c r="C51" s="99"/>
      <c r="D51" s="748" t="s">
        <v>765</v>
      </c>
      <c r="E51" s="99"/>
      <c r="F51" s="99"/>
      <c r="G51" s="99"/>
      <c r="H51" s="99"/>
      <c r="I51" s="490"/>
      <c r="J51" s="626"/>
      <c r="K51" s="895"/>
      <c r="L51"/>
      <c r="M51" s="717"/>
      <c r="N51" s="13"/>
    </row>
    <row r="52" spans="1:15" s="3" customFormat="1">
      <c r="A52" s="394"/>
      <c r="B52" s="1062" t="s">
        <v>1113</v>
      </c>
      <c r="C52" s="111" t="s">
        <v>298</v>
      </c>
      <c r="D52" s="1373">
        <f>F52/D24</f>
        <v>4.1311822359545776</v>
      </c>
      <c r="E52" s="99" t="s">
        <v>1110</v>
      </c>
      <c r="F52" s="1359">
        <f>D31*(D36-D29*D35*D25)</f>
        <v>39084001667479.945</v>
      </c>
      <c r="G52" s="99" t="s">
        <v>1018</v>
      </c>
      <c r="H52" s="340"/>
      <c r="I52" s="490"/>
      <c r="J52" s="626"/>
      <c r="K52" s="895"/>
      <c r="L52" s="626"/>
      <c r="M52" s="626"/>
      <c r="N52" s="626"/>
    </row>
    <row r="53" spans="1:15" s="3" customFormat="1">
      <c r="A53" s="394"/>
      <c r="B53" s="1063" t="s">
        <v>1097</v>
      </c>
      <c r="C53" s="111" t="s">
        <v>299</v>
      </c>
      <c r="D53" s="1458">
        <f>D37</f>
        <v>0</v>
      </c>
      <c r="E53" s="99" t="s">
        <v>1110</v>
      </c>
      <c r="F53" s="1459">
        <f>D53*D24</f>
        <v>0</v>
      </c>
      <c r="G53" s="99" t="s">
        <v>1018</v>
      </c>
      <c r="H53" s="162"/>
      <c r="I53" s="490"/>
      <c r="J53" s="1071"/>
      <c r="K53" s="895"/>
      <c r="L53" s="626"/>
      <c r="M53" s="626"/>
      <c r="N53" s="626"/>
    </row>
    <row r="54" spans="1:15" s="2" customFormat="1">
      <c r="A54" s="559"/>
      <c r="B54" s="1064" t="s">
        <v>1115</v>
      </c>
      <c r="C54" s="111" t="s">
        <v>300</v>
      </c>
      <c r="D54" s="1458">
        <f>D38</f>
        <v>0</v>
      </c>
      <c r="E54" s="99" t="s">
        <v>1110</v>
      </c>
      <c r="F54" s="1459">
        <f>D54*D24</f>
        <v>0</v>
      </c>
      <c r="G54" s="99" t="s">
        <v>1018</v>
      </c>
      <c r="H54" s="340"/>
      <c r="I54" s="558"/>
      <c r="J54" s="21"/>
      <c r="K54" s="1074"/>
      <c r="L54" s="21"/>
      <c r="M54" s="21"/>
      <c r="N54" s="21"/>
    </row>
    <row r="55" spans="1:15" ht="14.25" customHeight="1">
      <c r="A55" s="432"/>
      <c r="B55" s="953" t="s">
        <v>1098</v>
      </c>
      <c r="C55" s="107"/>
      <c r="D55" s="107"/>
      <c r="E55" s="107"/>
      <c r="F55" s="107"/>
      <c r="G55" s="107"/>
      <c r="H55" s="360"/>
      <c r="I55" s="417"/>
      <c r="J55" s="4"/>
      <c r="K55" s="1074"/>
      <c r="L55" s="747"/>
      <c r="M55" s="13"/>
      <c r="N55" s="4"/>
    </row>
    <row r="56" spans="1:15" s="3" customFormat="1" ht="13.8">
      <c r="A56" s="432"/>
      <c r="B56" s="953" t="s">
        <v>1099</v>
      </c>
      <c r="C56" s="111" t="s">
        <v>2</v>
      </c>
      <c r="D56" s="1373">
        <f>D31*(D35*D25-(D29*D36)/POWER(D23,2))/D25</f>
        <v>-1.0327955589886442</v>
      </c>
      <c r="E56" s="99" t="s">
        <v>1101</v>
      </c>
      <c r="F56" s="99"/>
      <c r="G56" s="99"/>
      <c r="H56" s="313"/>
      <c r="I56" s="490"/>
      <c r="J56" s="626"/>
      <c r="K56" s="1074"/>
      <c r="L56" s="13"/>
      <c r="M56" s="13"/>
      <c r="N56" s="626"/>
    </row>
    <row r="57" spans="1:15" ht="14.4" customHeight="1">
      <c r="A57" s="432"/>
      <c r="B57" s="1061" t="s">
        <v>1114</v>
      </c>
      <c r="C57" s="111"/>
      <c r="D57" s="745"/>
      <c r="E57" s="99"/>
      <c r="F57" s="107"/>
      <c r="G57" s="107"/>
      <c r="H57" s="107"/>
      <c r="I57" s="417"/>
      <c r="J57" s="4"/>
      <c r="K57" s="1074"/>
      <c r="L57" s="13"/>
      <c r="M57" s="13"/>
      <c r="N57" s="4"/>
    </row>
    <row r="58" spans="1:15" s="3" customFormat="1" ht="14.25" customHeight="1">
      <c r="A58" s="432"/>
      <c r="B58" s="781" t="s">
        <v>1267</v>
      </c>
      <c r="C58" s="99"/>
      <c r="D58" s="554" t="s">
        <v>764</v>
      </c>
      <c r="E58" s="99"/>
      <c r="F58" s="99"/>
      <c r="G58" s="99"/>
      <c r="H58" s="99"/>
      <c r="I58" s="490"/>
      <c r="J58" s="626"/>
      <c r="K58" s="4"/>
      <c r="L58" s="13"/>
      <c r="M58" s="13"/>
      <c r="N58" s="626"/>
    </row>
    <row r="59" spans="1:15" s="3" customFormat="1" ht="14.25" customHeight="1">
      <c r="A59" s="432"/>
      <c r="B59" s="781" t="s">
        <v>1268</v>
      </c>
      <c r="C59" s="111" t="s">
        <v>91</v>
      </c>
      <c r="D59" s="1373">
        <f>F59/D24</f>
        <v>0</v>
      </c>
      <c r="E59" s="99" t="s">
        <v>1110</v>
      </c>
      <c r="F59" s="1359">
        <f>D31*(F36+D29*F35*D25)</f>
        <v>0</v>
      </c>
      <c r="G59" s="99" t="s">
        <v>1018</v>
      </c>
      <c r="H59" s="340"/>
      <c r="I59" s="490"/>
      <c r="J59" s="626"/>
      <c r="K59" s="626"/>
      <c r="L59" s="626"/>
      <c r="M59" s="626"/>
      <c r="N59" s="626"/>
    </row>
    <row r="60" spans="1:15" s="3" customFormat="1" ht="14.25" customHeight="1">
      <c r="A60" s="432"/>
      <c r="B60" s="781" t="s">
        <v>1100</v>
      </c>
      <c r="C60" s="111" t="s">
        <v>297</v>
      </c>
      <c r="D60" s="1458">
        <f>F37</f>
        <v>0</v>
      </c>
      <c r="E60" s="99" t="s">
        <v>1110</v>
      </c>
      <c r="F60" s="1459">
        <f>D60*D24</f>
        <v>0</v>
      </c>
      <c r="G60" s="99" t="s">
        <v>1018</v>
      </c>
      <c r="H60" s="340"/>
      <c r="I60" s="490"/>
      <c r="L60" s="626"/>
      <c r="M60" s="626"/>
      <c r="N60" s="626"/>
      <c r="O60" s="626"/>
    </row>
    <row r="61" spans="1:15" s="3" customFormat="1" ht="14.25" customHeight="1">
      <c r="A61" s="432"/>
      <c r="B61" s="99"/>
      <c r="C61" s="111" t="s">
        <v>65</v>
      </c>
      <c r="D61" s="1458">
        <f>F38</f>
        <v>0</v>
      </c>
      <c r="E61" s="99" t="s">
        <v>1110</v>
      </c>
      <c r="F61" s="1459">
        <f>F38*D24</f>
        <v>0</v>
      </c>
      <c r="G61" s="99" t="s">
        <v>1018</v>
      </c>
      <c r="H61" s="360"/>
      <c r="I61" s="490"/>
      <c r="L61" s="626"/>
      <c r="M61" s="626"/>
      <c r="N61" s="626"/>
      <c r="O61" s="626"/>
    </row>
    <row r="62" spans="1:15" s="3" customFormat="1" ht="14.25" customHeight="1">
      <c r="A62" s="432"/>
      <c r="B62" s="337" t="s">
        <v>1159</v>
      </c>
      <c r="C62" s="99"/>
      <c r="D62" s="99"/>
      <c r="E62" s="99"/>
      <c r="F62" s="99"/>
      <c r="G62" s="99"/>
      <c r="H62" s="360"/>
      <c r="I62" s="490"/>
      <c r="J62" s="47"/>
      <c r="L62" s="747"/>
      <c r="M62" s="13"/>
      <c r="N62" s="626"/>
      <c r="O62" s="626"/>
    </row>
    <row r="63" spans="1:15" s="46" customFormat="1" ht="14.25" customHeight="1">
      <c r="A63" s="479"/>
      <c r="B63" s="337" t="s">
        <v>1126</v>
      </c>
      <c r="C63" s="111" t="s">
        <v>1</v>
      </c>
      <c r="D63" s="1373">
        <f>D31*(F35*D25+(D29*F36)/(POWER(D23,2)))/D25</f>
        <v>0</v>
      </c>
      <c r="E63" s="882" t="s">
        <v>1111</v>
      </c>
      <c r="F63" s="107"/>
      <c r="G63" s="107"/>
      <c r="H63" s="608"/>
      <c r="I63" s="560"/>
      <c r="L63"/>
    </row>
    <row r="64" spans="1:15" s="3" customFormat="1" ht="15" customHeight="1">
      <c r="A64" s="432"/>
      <c r="B64" s="337" t="s">
        <v>1127</v>
      </c>
      <c r="C64" s="111"/>
      <c r="D64" s="105"/>
      <c r="E64" s="99"/>
      <c r="F64" s="99"/>
      <c r="G64" s="99"/>
      <c r="H64" s="107"/>
      <c r="I64" s="490"/>
      <c r="J64" s="13"/>
      <c r="L64" s="626"/>
      <c r="M64" s="626"/>
      <c r="N64" s="626"/>
      <c r="O64" s="626"/>
    </row>
    <row r="65" spans="1:13" s="3" customFormat="1">
      <c r="A65" s="432"/>
      <c r="B65" s="681" t="s">
        <v>797</v>
      </c>
      <c r="C65" s="99"/>
      <c r="D65" s="99"/>
      <c r="E65" s="349" t="s">
        <v>869</v>
      </c>
      <c r="F65" s="99"/>
      <c r="G65" s="561" t="s">
        <v>870</v>
      </c>
      <c r="H65" s="99"/>
      <c r="I65" s="490"/>
      <c r="M65"/>
    </row>
    <row r="66" spans="1:13" s="3" customFormat="1" ht="16.2">
      <c r="A66" s="432"/>
      <c r="B66" s="337" t="s">
        <v>1606</v>
      </c>
      <c r="C66" s="99"/>
      <c r="D66" s="748" t="s">
        <v>765</v>
      </c>
      <c r="E66" s="99"/>
      <c r="F66" s="26"/>
      <c r="G66" s="99"/>
      <c r="H66" s="99"/>
      <c r="I66" s="490"/>
      <c r="K66"/>
      <c r="L66"/>
    </row>
    <row r="67" spans="1:13" s="3" customFormat="1" ht="16.2">
      <c r="A67" s="394"/>
      <c r="B67" s="337" t="s">
        <v>1607</v>
      </c>
      <c r="C67" s="111" t="s">
        <v>298</v>
      </c>
      <c r="D67" s="1373">
        <f>F67/D24</f>
        <v>4</v>
      </c>
      <c r="E67" s="99" t="s">
        <v>1110</v>
      </c>
      <c r="F67" s="1359">
        <f>D36-D29*D35*D25</f>
        <v>37842921890323.187</v>
      </c>
      <c r="G67" s="99" t="s">
        <v>1018</v>
      </c>
      <c r="H67" s="340"/>
      <c r="I67" s="490"/>
    </row>
    <row r="68" spans="1:13" s="3" customFormat="1">
      <c r="A68" s="394"/>
      <c r="B68" s="26"/>
      <c r="C68" s="111" t="s">
        <v>299</v>
      </c>
      <c r="D68" s="1458">
        <f>D37</f>
        <v>0</v>
      </c>
      <c r="E68" s="99" t="s">
        <v>1110</v>
      </c>
      <c r="F68" s="1459">
        <f>D68*D24</f>
        <v>0</v>
      </c>
      <c r="G68" s="99" t="s">
        <v>1018</v>
      </c>
      <c r="H68" s="340"/>
      <c r="I68" s="490"/>
    </row>
    <row r="69" spans="1:13" s="3" customFormat="1">
      <c r="A69" s="394"/>
      <c r="B69" s="1091" t="s">
        <v>1125</v>
      </c>
      <c r="C69" s="111" t="s">
        <v>300</v>
      </c>
      <c r="D69" s="1458">
        <f>D38</f>
        <v>0</v>
      </c>
      <c r="E69" s="99" t="s">
        <v>1110</v>
      </c>
      <c r="F69" s="1459">
        <f>D69*D24</f>
        <v>0</v>
      </c>
      <c r="G69" s="99" t="s">
        <v>1018</v>
      </c>
      <c r="H69" s="340"/>
      <c r="I69" s="490"/>
    </row>
    <row r="70" spans="1:13" s="3" customFormat="1">
      <c r="A70" s="394"/>
      <c r="B70" s="130" t="s">
        <v>1128</v>
      </c>
      <c r="C70" s="111"/>
      <c r="D70" s="884"/>
      <c r="E70" s="99"/>
      <c r="F70" s="99"/>
      <c r="G70" s="99"/>
      <c r="H70" s="107"/>
      <c r="I70" s="490"/>
      <c r="L70" s="19"/>
    </row>
    <row r="71" spans="1:13" s="3" customFormat="1">
      <c r="A71" s="394"/>
      <c r="B71" s="130" t="s">
        <v>1130</v>
      </c>
      <c r="C71" s="111" t="s">
        <v>2</v>
      </c>
      <c r="D71" s="1373">
        <f>D35</f>
        <v>0</v>
      </c>
      <c r="E71" s="99" t="s">
        <v>1111</v>
      </c>
      <c r="F71" s="99"/>
      <c r="G71" s="99"/>
      <c r="H71" s="340"/>
      <c r="I71" s="490"/>
    </row>
    <row r="72" spans="1:13" s="3" customFormat="1" ht="12.75" customHeight="1">
      <c r="A72" s="394"/>
      <c r="B72" s="130" t="s">
        <v>1129</v>
      </c>
      <c r="C72" s="99"/>
      <c r="D72" s="99"/>
      <c r="E72" s="99"/>
      <c r="F72" s="99"/>
      <c r="G72" s="99"/>
      <c r="H72" s="99"/>
      <c r="I72" s="490"/>
      <c r="K72"/>
      <c r="L72"/>
    </row>
    <row r="73" spans="1:13" s="3" customFormat="1" ht="13.8" customHeight="1">
      <c r="A73" s="394"/>
      <c r="B73" s="956" t="s">
        <v>1116</v>
      </c>
      <c r="C73" s="111"/>
      <c r="D73" s="554" t="s">
        <v>764</v>
      </c>
      <c r="E73" s="99"/>
      <c r="F73" s="99"/>
      <c r="G73" s="99"/>
      <c r="H73" s="107"/>
      <c r="I73" s="490"/>
      <c r="K73"/>
      <c r="L73"/>
    </row>
    <row r="74" spans="1:13" s="3" customFormat="1">
      <c r="A74" s="394"/>
      <c r="B74" s="130" t="s">
        <v>1118</v>
      </c>
      <c r="C74" s="111" t="s">
        <v>91</v>
      </c>
      <c r="D74" s="1373">
        <f>F74/D24</f>
        <v>0</v>
      </c>
      <c r="E74" s="99" t="s">
        <v>1110</v>
      </c>
      <c r="F74" s="1359">
        <f>F36+F29*F35*D25</f>
        <v>0</v>
      </c>
      <c r="G74" s="99" t="s">
        <v>1018</v>
      </c>
      <c r="H74" s="340"/>
      <c r="I74" s="490"/>
    </row>
    <row r="75" spans="1:13" s="3" customFormat="1">
      <c r="A75" s="394"/>
      <c r="B75" s="130" t="s">
        <v>1131</v>
      </c>
      <c r="C75" s="111" t="s">
        <v>297</v>
      </c>
      <c r="D75" s="1458">
        <f>F37</f>
        <v>0</v>
      </c>
      <c r="E75" s="99" t="s">
        <v>1110</v>
      </c>
      <c r="F75" s="1459">
        <f>D75*D24</f>
        <v>0</v>
      </c>
      <c r="G75" s="99" t="s">
        <v>1018</v>
      </c>
      <c r="H75" s="340"/>
      <c r="I75" s="490"/>
    </row>
    <row r="76" spans="1:13" s="3" customFormat="1" ht="15.75" customHeight="1">
      <c r="A76" s="394"/>
      <c r="B76" s="130" t="s">
        <v>1119</v>
      </c>
      <c r="C76" s="111" t="s">
        <v>65</v>
      </c>
      <c r="D76" s="1458">
        <f>F38</f>
        <v>0</v>
      </c>
      <c r="E76" s="99" t="s">
        <v>1110</v>
      </c>
      <c r="F76" s="1459">
        <f>D76*D24</f>
        <v>0</v>
      </c>
      <c r="G76" s="99" t="s">
        <v>1018</v>
      </c>
      <c r="H76" s="340"/>
      <c r="I76" s="490"/>
    </row>
    <row r="77" spans="1:13" s="3" customFormat="1" ht="13.5" customHeight="1">
      <c r="A77" s="394"/>
      <c r="B77" s="130" t="s">
        <v>1117</v>
      </c>
      <c r="C77" s="99"/>
      <c r="D77" s="99"/>
      <c r="E77" s="26"/>
      <c r="F77" s="99"/>
      <c r="G77" s="99"/>
      <c r="H77" s="99"/>
      <c r="I77" s="490"/>
    </row>
    <row r="78" spans="1:13" s="3" customFormat="1" ht="13.5" customHeight="1">
      <c r="A78" s="496"/>
      <c r="B78" s="514" t="s">
        <v>1120</v>
      </c>
      <c r="C78" s="533" t="s">
        <v>1</v>
      </c>
      <c r="D78" s="1373">
        <f>F35</f>
        <v>0</v>
      </c>
      <c r="E78" s="502" t="s">
        <v>1111</v>
      </c>
      <c r="F78" s="502"/>
      <c r="G78" s="502"/>
      <c r="H78" s="340"/>
      <c r="I78" s="499"/>
    </row>
    <row r="79" spans="1:13" s="3" customFormat="1">
      <c r="A79" s="26"/>
      <c r="B79" s="626"/>
      <c r="L79"/>
    </row>
    <row r="80" spans="1:13" s="3" customFormat="1">
      <c r="A80" s="26"/>
      <c r="C80" s="1078" t="s">
        <v>1625</v>
      </c>
      <c r="D80" s="1085" t="s">
        <v>1106</v>
      </c>
      <c r="E80" s="1086" t="s">
        <v>1104</v>
      </c>
      <c r="F80" s="1087" t="s">
        <v>1105</v>
      </c>
      <c r="G80" s="1088" t="s">
        <v>1108</v>
      </c>
      <c r="H80" s="1088" t="s">
        <v>1107</v>
      </c>
      <c r="K80"/>
    </row>
    <row r="81" spans="1:12" s="3" customFormat="1">
      <c r="A81" s="26"/>
      <c r="B81" s="901"/>
      <c r="C81" s="19"/>
      <c r="D81" s="1079">
        <v>10</v>
      </c>
      <c r="E81" s="1080">
        <v>10</v>
      </c>
      <c r="F81" s="1081">
        <v>5</v>
      </c>
      <c r="G81" s="1080">
        <v>5</v>
      </c>
      <c r="H81" s="1080">
        <v>4</v>
      </c>
      <c r="K81"/>
      <c r="L81"/>
    </row>
    <row r="82" spans="1:12" s="3" customFormat="1">
      <c r="A82" s="26"/>
      <c r="B82" s="902"/>
      <c r="C82" s="10"/>
      <c r="D82" s="1079">
        <v>10</v>
      </c>
      <c r="E82" s="1080">
        <v>6</v>
      </c>
      <c r="F82" s="1081">
        <v>8</v>
      </c>
      <c r="G82" s="1080">
        <v>0</v>
      </c>
      <c r="H82" s="1080">
        <v>6.4</v>
      </c>
      <c r="J82"/>
    </row>
    <row r="83" spans="1:12" s="3" customFormat="1" ht="13.8">
      <c r="A83" s="26"/>
      <c r="B83" s="892"/>
      <c r="C83" s="19"/>
      <c r="D83" s="1082">
        <v>10</v>
      </c>
      <c r="E83" s="1083">
        <v>2</v>
      </c>
      <c r="F83" s="1084">
        <v>11</v>
      </c>
      <c r="G83" s="1083">
        <v>-5</v>
      </c>
      <c r="H83" s="1083">
        <v>8.8000000000000007</v>
      </c>
    </row>
    <row r="84" spans="1:12" s="3" customFormat="1" ht="13.8">
      <c r="A84" s="26"/>
      <c r="B84" s="892"/>
    </row>
    <row r="85" spans="1:12" s="3" customFormat="1" ht="13.8">
      <c r="A85" s="26"/>
      <c r="B85" s="892"/>
    </row>
    <row r="86" spans="1:12" s="3" customFormat="1" ht="13.8">
      <c r="A86" s="26"/>
      <c r="B86" s="893"/>
    </row>
    <row r="87" spans="1:12" s="3" customFormat="1" ht="13.8">
      <c r="A87" s="26"/>
      <c r="B87" s="894"/>
    </row>
    <row r="88" spans="1:12" s="3" customFormat="1" ht="13.8">
      <c r="A88" s="26"/>
      <c r="B88" s="893"/>
    </row>
    <row r="89" spans="1:12" s="3" customFormat="1" ht="13.8">
      <c r="A89" s="26"/>
      <c r="B89" s="893"/>
    </row>
    <row r="90" spans="1:12" s="3" customFormat="1" ht="13.8">
      <c r="A90" s="26"/>
      <c r="B90" s="13"/>
    </row>
    <row r="91" spans="1:12">
      <c r="B91" s="895"/>
    </row>
    <row r="92" spans="1:12">
      <c r="B92" s="895"/>
    </row>
    <row r="93" spans="1:12">
      <c r="B93" s="43"/>
    </row>
    <row r="94" spans="1:12">
      <c r="B94" s="43"/>
    </row>
    <row r="95" spans="1:12">
      <c r="B95" s="43"/>
    </row>
    <row r="96" spans="1:12">
      <c r="B96" s="43"/>
    </row>
  </sheetData>
  <sheetProtection password="CEBA" sheet="1" objects="1" scenarios="1"/>
  <pageMargins left="0" right="0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zoomScaleNormal="100" workbookViewId="0">
      <selection activeCell="D6" sqref="D6"/>
    </sheetView>
  </sheetViews>
  <sheetFormatPr baseColWidth="10" defaultRowHeight="14.4"/>
  <cols>
    <col min="1" max="1" width="0.88671875" style="107" customWidth="1"/>
    <col min="2" max="2" width="52.6640625" customWidth="1"/>
    <col min="3" max="3" width="8.6640625" style="8" customWidth="1"/>
    <col min="4" max="4" width="21" style="10" customWidth="1"/>
    <col min="5" max="5" width="7.6640625" style="11" customWidth="1"/>
    <col min="6" max="6" width="21" style="10" customWidth="1"/>
    <col min="7" max="7" width="7.6640625" style="10" customWidth="1"/>
    <col min="8" max="8" width="17.6640625" style="10" customWidth="1"/>
    <col min="9" max="9" width="6.44140625" style="10" customWidth="1"/>
    <col min="10" max="10" width="0.88671875" customWidth="1"/>
    <col min="11" max="11" width="21.5546875" customWidth="1"/>
    <col min="12" max="12" width="6.6640625" customWidth="1"/>
    <col min="13" max="13" width="16.6640625" customWidth="1"/>
  </cols>
  <sheetData>
    <row r="1" spans="1:11" ht="15.6">
      <c r="A1" s="485"/>
      <c r="B1" s="486"/>
      <c r="C1" s="537"/>
      <c r="D1" s="538"/>
      <c r="E1" s="539"/>
      <c r="F1" s="538"/>
      <c r="G1" s="538"/>
      <c r="H1" s="538"/>
      <c r="I1" s="538"/>
      <c r="J1" s="487" t="s">
        <v>277</v>
      </c>
    </row>
    <row r="2" spans="1:11" ht="20.399999999999999">
      <c r="A2" s="414"/>
      <c r="C2" s="1275" t="s">
        <v>1685</v>
      </c>
      <c r="D2" s="540"/>
      <c r="E2" s="110"/>
      <c r="F2" s="99"/>
      <c r="G2" s="99"/>
      <c r="H2" s="99"/>
      <c r="I2" s="99"/>
      <c r="J2" s="490"/>
      <c r="K2" s="3"/>
    </row>
    <row r="3" spans="1:11">
      <c r="A3" s="414"/>
      <c r="B3" s="99"/>
      <c r="C3" s="827" t="s">
        <v>1684</v>
      </c>
      <c r="D3" s="99"/>
      <c r="E3" s="110"/>
      <c r="F3" s="99"/>
      <c r="G3" s="99"/>
      <c r="H3" s="99"/>
      <c r="I3" s="99"/>
      <c r="J3" s="490"/>
      <c r="K3" s="3"/>
    </row>
    <row r="4" spans="1:11" ht="12.6" customHeight="1">
      <c r="A4" s="414"/>
      <c r="B4" s="123"/>
      <c r="C4" s="111"/>
      <c r="D4" s="99"/>
      <c r="E4" s="110"/>
      <c r="F4" s="99"/>
      <c r="G4" s="99"/>
      <c r="H4" s="99"/>
      <c r="I4" s="99"/>
      <c r="J4" s="490"/>
      <c r="K4" s="3"/>
    </row>
    <row r="5" spans="1:11" s="941" customFormat="1" ht="15" customHeight="1">
      <c r="A5" s="943"/>
      <c r="B5" s="491" t="s">
        <v>1915</v>
      </c>
      <c r="C5" s="111"/>
      <c r="D5" s="112"/>
      <c r="E5" s="110"/>
      <c r="F5" s="112"/>
      <c r="G5" s="112"/>
      <c r="H5" s="112"/>
      <c r="I5" s="112"/>
      <c r="J5" s="504"/>
      <c r="K5" s="22"/>
    </row>
    <row r="6" spans="1:11" s="941" customFormat="1" ht="15" customHeight="1">
      <c r="A6" s="943"/>
      <c r="B6" s="491" t="s">
        <v>1880</v>
      </c>
      <c r="C6" s="111"/>
      <c r="D6" s="112"/>
      <c r="E6" s="110"/>
      <c r="F6" s="112"/>
      <c r="G6" s="112"/>
      <c r="H6" s="112"/>
      <c r="I6" s="112"/>
      <c r="J6" s="504"/>
      <c r="K6" s="22"/>
    </row>
    <row r="7" spans="1:11" s="941" customFormat="1">
      <c r="A7" s="943"/>
      <c r="B7" s="491" t="s">
        <v>1888</v>
      </c>
      <c r="C7" s="111"/>
      <c r="D7" s="112"/>
      <c r="E7" s="110"/>
      <c r="F7" s="112"/>
      <c r="G7" s="112"/>
      <c r="H7" s="112"/>
      <c r="I7" s="112"/>
      <c r="J7" s="504"/>
      <c r="K7" s="22"/>
    </row>
    <row r="8" spans="1:11" s="941" customFormat="1">
      <c r="A8" s="943"/>
      <c r="B8" s="491" t="s">
        <v>1889</v>
      </c>
      <c r="C8" s="111"/>
      <c r="D8" s="112"/>
      <c r="E8" s="110"/>
      <c r="F8" s="106"/>
      <c r="G8" s="112"/>
      <c r="H8" s="112"/>
      <c r="I8" s="112"/>
      <c r="J8" s="504"/>
      <c r="K8" s="22"/>
    </row>
    <row r="9" spans="1:11">
      <c r="A9" s="414"/>
      <c r="B9" s="273"/>
      <c r="C9" s="111"/>
      <c r="D9" s="99"/>
      <c r="E9" s="110"/>
      <c r="F9" s="106"/>
      <c r="G9" s="99"/>
      <c r="H9" s="105" t="s">
        <v>129</v>
      </c>
      <c r="I9" s="99"/>
      <c r="J9" s="490"/>
      <c r="K9" s="3"/>
    </row>
    <row r="10" spans="1:11">
      <c r="A10" s="414"/>
      <c r="B10" s="273"/>
      <c r="C10" s="111"/>
      <c r="D10" s="99"/>
      <c r="E10" s="521"/>
      <c r="F10" s="106"/>
      <c r="G10" s="111" t="s">
        <v>100</v>
      </c>
      <c r="H10" s="275">
        <v>9460730472580000</v>
      </c>
      <c r="I10" s="99" t="s">
        <v>8</v>
      </c>
      <c r="J10" s="490"/>
    </row>
    <row r="11" spans="1:11">
      <c r="A11" s="414"/>
      <c r="B11" s="107"/>
      <c r="C11" s="520"/>
      <c r="D11" s="107"/>
      <c r="E11" s="521"/>
      <c r="F11" s="106"/>
      <c r="G11" s="111" t="s">
        <v>42</v>
      </c>
      <c r="H11" s="275">
        <v>31556925.261</v>
      </c>
      <c r="I11" s="99" t="s">
        <v>0</v>
      </c>
      <c r="J11" s="490"/>
    </row>
    <row r="12" spans="1:11">
      <c r="A12" s="414"/>
      <c r="B12" s="273"/>
      <c r="C12" s="111"/>
      <c r="D12" s="99"/>
      <c r="E12" s="521"/>
      <c r="F12" s="106"/>
      <c r="G12" s="106"/>
      <c r="H12" s="106"/>
      <c r="I12" s="106"/>
      <c r="J12" s="490"/>
    </row>
    <row r="13" spans="1:11">
      <c r="A13" s="414"/>
      <c r="B13" s="273"/>
      <c r="C13" s="111"/>
      <c r="D13" s="99"/>
      <c r="E13" s="521"/>
      <c r="F13" s="106"/>
      <c r="G13" s="99"/>
      <c r="H13" s="105" t="s">
        <v>329</v>
      </c>
      <c r="I13" s="99"/>
      <c r="J13" s="490"/>
    </row>
    <row r="14" spans="1:11">
      <c r="A14" s="414"/>
      <c r="B14" s="273"/>
      <c r="C14" s="111"/>
      <c r="D14" s="99"/>
      <c r="E14" s="521"/>
      <c r="F14" s="111" t="s">
        <v>336</v>
      </c>
      <c r="G14" s="111" t="s">
        <v>101</v>
      </c>
      <c r="H14" s="58">
        <v>299792.45799999998</v>
      </c>
      <c r="I14" s="99" t="s">
        <v>5</v>
      </c>
      <c r="J14" s="490"/>
    </row>
    <row r="15" spans="1:11">
      <c r="A15" s="414"/>
      <c r="B15" s="99"/>
      <c r="C15" s="111"/>
      <c r="D15" s="99"/>
      <c r="E15" s="521"/>
      <c r="F15" s="106"/>
      <c r="G15" s="111" t="s">
        <v>562</v>
      </c>
      <c r="H15" s="368">
        <v>299792458</v>
      </c>
      <c r="I15" s="99" t="s">
        <v>24</v>
      </c>
      <c r="J15" s="490"/>
    </row>
    <row r="16" spans="1:11">
      <c r="A16" s="414"/>
      <c r="B16" s="99"/>
      <c r="C16" s="111"/>
      <c r="D16" s="99"/>
      <c r="E16" s="110"/>
      <c r="F16" s="99"/>
      <c r="G16" s="99"/>
      <c r="H16" s="99"/>
      <c r="I16" s="99"/>
      <c r="J16" s="490"/>
      <c r="K16" s="369"/>
    </row>
    <row r="17" spans="1:11" ht="15.6">
      <c r="A17" s="414"/>
      <c r="B17" s="99"/>
      <c r="C17" s="111"/>
      <c r="D17" s="106"/>
      <c r="E17" s="110"/>
      <c r="F17" s="106"/>
      <c r="G17" s="99"/>
      <c r="H17" s="494" t="s">
        <v>3</v>
      </c>
      <c r="I17" s="99"/>
      <c r="J17" s="490"/>
    </row>
    <row r="18" spans="1:11">
      <c r="A18" s="414"/>
      <c r="B18" s="99"/>
      <c r="C18" s="111"/>
      <c r="D18" s="106"/>
      <c r="E18" s="521"/>
      <c r="F18" s="506" t="s">
        <v>148</v>
      </c>
      <c r="G18" s="111" t="s">
        <v>104</v>
      </c>
      <c r="H18" s="268">
        <v>4.24</v>
      </c>
      <c r="I18" s="99" t="s">
        <v>98</v>
      </c>
      <c r="J18" s="490"/>
    </row>
    <row r="19" spans="1:11">
      <c r="A19" s="414"/>
      <c r="B19" s="99"/>
      <c r="C19" s="111"/>
      <c r="D19" s="106"/>
      <c r="E19" s="521"/>
      <c r="F19" s="506" t="s">
        <v>1877</v>
      </c>
      <c r="G19" s="111" t="s">
        <v>1878</v>
      </c>
      <c r="H19" s="268">
        <v>1</v>
      </c>
      <c r="I19" s="99"/>
      <c r="J19" s="490"/>
    </row>
    <row r="20" spans="1:11" ht="16.8">
      <c r="A20" s="414"/>
      <c r="B20" s="107"/>
      <c r="C20" s="520"/>
      <c r="D20" s="106"/>
      <c r="E20" s="521"/>
      <c r="F20" s="506" t="s">
        <v>1879</v>
      </c>
      <c r="G20" s="111" t="s">
        <v>31</v>
      </c>
      <c r="H20" s="320">
        <f>9.81*H19</f>
        <v>9.81</v>
      </c>
      <c r="I20" s="99" t="s">
        <v>99</v>
      </c>
      <c r="J20" s="490"/>
    </row>
    <row r="21" spans="1:11">
      <c r="A21" s="414"/>
      <c r="B21" s="1406" t="s">
        <v>436</v>
      </c>
      <c r="C21" s="520"/>
      <c r="D21" s="106"/>
      <c r="E21" s="521"/>
      <c r="F21" s="99"/>
      <c r="G21" s="111"/>
      <c r="H21" s="99"/>
      <c r="I21" s="99"/>
      <c r="J21" s="490"/>
    </row>
    <row r="22" spans="1:11">
      <c r="A22" s="414"/>
      <c r="C22" s="520"/>
      <c r="D22" s="106"/>
      <c r="E22" s="521"/>
      <c r="F22" s="111" t="s">
        <v>611</v>
      </c>
      <c r="G22" s="111" t="s">
        <v>138</v>
      </c>
      <c r="H22" s="276">
        <f>H18/2</f>
        <v>2.12</v>
      </c>
      <c r="I22" s="99" t="s">
        <v>98</v>
      </c>
      <c r="J22" s="490"/>
    </row>
    <row r="23" spans="1:11">
      <c r="A23" s="414"/>
      <c r="B23" s="107"/>
      <c r="C23" s="520"/>
      <c r="D23" s="106"/>
      <c r="E23" s="521"/>
      <c r="F23" s="106"/>
      <c r="G23" s="106"/>
      <c r="H23" s="111"/>
      <c r="I23" s="106"/>
      <c r="J23" s="490"/>
      <c r="K23" s="3"/>
    </row>
    <row r="24" spans="1:11">
      <c r="A24" s="414"/>
      <c r="C24" s="396" t="s">
        <v>62</v>
      </c>
      <c r="D24" s="99"/>
      <c r="E24" s="110"/>
      <c r="F24" s="99"/>
      <c r="G24" s="99"/>
      <c r="H24" s="99"/>
      <c r="I24" s="99"/>
      <c r="J24" s="495"/>
      <c r="K24" s="3"/>
    </row>
    <row r="25" spans="1:11">
      <c r="A25" s="414"/>
      <c r="B25" s="1406" t="s">
        <v>603</v>
      </c>
      <c r="C25" s="124" t="s">
        <v>1881</v>
      </c>
      <c r="D25" s="99"/>
      <c r="E25" s="110"/>
      <c r="F25" s="99"/>
      <c r="G25" s="99"/>
      <c r="H25" s="99"/>
      <c r="I25" s="99"/>
      <c r="J25" s="495"/>
      <c r="K25" s="3"/>
    </row>
    <row r="26" spans="1:11">
      <c r="A26" s="414"/>
      <c r="B26" s="99"/>
      <c r="C26" s="124" t="s">
        <v>1882</v>
      </c>
      <c r="D26" s="99"/>
      <c r="E26" s="110"/>
      <c r="F26" s="99"/>
      <c r="G26" s="99"/>
      <c r="H26" s="99"/>
      <c r="I26" s="99"/>
      <c r="J26" s="495"/>
      <c r="K26" s="3"/>
    </row>
    <row r="27" spans="1:11">
      <c r="A27" s="414"/>
      <c r="B27" s="99"/>
      <c r="C27" s="124" t="s">
        <v>663</v>
      </c>
      <c r="D27" s="99"/>
      <c r="E27" s="110"/>
      <c r="F27" s="99"/>
      <c r="G27" s="99"/>
      <c r="H27" s="99"/>
      <c r="I27" s="99"/>
      <c r="J27" s="495"/>
      <c r="K27" s="3"/>
    </row>
    <row r="28" spans="1:11">
      <c r="A28" s="414"/>
      <c r="B28" s="99"/>
      <c r="C28" s="520"/>
      <c r="D28" s="99"/>
      <c r="E28" s="110"/>
      <c r="F28" s="99"/>
      <c r="G28" s="99"/>
      <c r="H28" s="99"/>
      <c r="I28" s="99"/>
      <c r="J28" s="495"/>
      <c r="K28" s="3"/>
    </row>
    <row r="29" spans="1:11">
      <c r="A29" s="414"/>
      <c r="B29" s="99"/>
      <c r="C29" s="541" t="s">
        <v>1254</v>
      </c>
      <c r="D29" s="99"/>
      <c r="E29" s="110"/>
      <c r="F29" s="99"/>
      <c r="G29" s="99"/>
      <c r="H29" s="99"/>
      <c r="I29" s="99"/>
      <c r="J29" s="495"/>
      <c r="K29" s="3"/>
    </row>
    <row r="30" spans="1:11">
      <c r="A30" s="414"/>
      <c r="B30" s="99"/>
      <c r="C30" s="541" t="s">
        <v>1883</v>
      </c>
      <c r="D30" s="99"/>
      <c r="E30" s="110"/>
      <c r="F30" s="99"/>
      <c r="G30" s="99"/>
      <c r="H30" s="99"/>
      <c r="I30" s="99"/>
      <c r="J30" s="495"/>
      <c r="K30" s="3"/>
    </row>
    <row r="31" spans="1:11">
      <c r="A31" s="414"/>
      <c r="B31" s="107"/>
      <c r="C31" s="541" t="s">
        <v>1885</v>
      </c>
      <c r="D31" s="99"/>
      <c r="E31" s="110"/>
      <c r="F31" s="99"/>
      <c r="G31" s="99"/>
      <c r="H31" s="99"/>
      <c r="I31" s="99"/>
      <c r="J31" s="490"/>
      <c r="K31" s="3"/>
    </row>
    <row r="32" spans="1:11">
      <c r="A32" s="414"/>
      <c r="B32" s="107"/>
      <c r="C32" s="541" t="s">
        <v>1884</v>
      </c>
      <c r="D32" s="106"/>
      <c r="E32" s="521"/>
      <c r="F32" s="106"/>
      <c r="G32" s="106"/>
      <c r="H32" s="106"/>
      <c r="I32" s="106"/>
      <c r="J32" s="417"/>
      <c r="K32" s="3"/>
    </row>
    <row r="33" spans="1:13">
      <c r="A33" s="414"/>
      <c r="B33" s="709" t="s">
        <v>109</v>
      </c>
      <c r="C33" s="541"/>
      <c r="D33" s="273"/>
      <c r="E33" s="124"/>
      <c r="F33" s="273"/>
      <c r="G33" s="273"/>
      <c r="H33" s="273"/>
      <c r="I33" s="273"/>
      <c r="J33" s="490"/>
      <c r="K33" s="3"/>
    </row>
    <row r="34" spans="1:13">
      <c r="A34" s="414"/>
      <c r="B34" s="709" t="s">
        <v>604</v>
      </c>
      <c r="C34" s="1040" t="s">
        <v>1890</v>
      </c>
      <c r="D34" s="542"/>
      <c r="E34" s="543"/>
      <c r="F34" s="542"/>
      <c r="G34" s="542"/>
      <c r="H34" s="542"/>
      <c r="I34" s="542"/>
      <c r="J34" s="490"/>
      <c r="K34" s="3"/>
    </row>
    <row r="35" spans="1:13" ht="15" customHeight="1">
      <c r="A35" s="414"/>
      <c r="B35" s="710" t="s">
        <v>185</v>
      </c>
      <c r="C35" s="1040" t="s">
        <v>1891</v>
      </c>
      <c r="D35" s="542"/>
      <c r="E35" s="543"/>
      <c r="F35" s="542"/>
      <c r="G35" s="542"/>
      <c r="H35" s="544"/>
      <c r="I35" s="542"/>
      <c r="J35" s="490"/>
      <c r="K35" s="3"/>
    </row>
    <row r="36" spans="1:13" ht="15" customHeight="1">
      <c r="A36" s="414"/>
      <c r="B36" s="557" t="s">
        <v>186</v>
      </c>
      <c r="C36" s="1040" t="s">
        <v>1892</v>
      </c>
      <c r="D36" s="542"/>
      <c r="E36" s="543"/>
      <c r="F36" s="542"/>
      <c r="G36" s="542"/>
      <c r="H36" s="544"/>
      <c r="I36" s="542"/>
      <c r="J36" s="490"/>
      <c r="K36" s="14"/>
    </row>
    <row r="37" spans="1:13" ht="15" customHeight="1">
      <c r="A37" s="414"/>
      <c r="B37" s="557"/>
      <c r="C37" s="1040"/>
      <c r="D37" s="106"/>
      <c r="E37" s="521"/>
      <c r="F37" s="106"/>
      <c r="G37" s="542"/>
      <c r="H37" s="544"/>
      <c r="I37" s="542"/>
      <c r="J37" s="490"/>
      <c r="K37" s="14"/>
    </row>
    <row r="38" spans="1:13" ht="12" customHeight="1">
      <c r="A38" s="389"/>
      <c r="B38" s="395"/>
      <c r="C38" s="1154"/>
      <c r="D38" s="498"/>
      <c r="E38" s="535"/>
      <c r="F38" s="498"/>
      <c r="G38" s="498"/>
      <c r="H38" s="498"/>
      <c r="I38" s="498"/>
      <c r="J38" s="536"/>
      <c r="K38" s="14"/>
    </row>
    <row r="39" spans="1:13" ht="18" thickBot="1">
      <c r="A39" s="485"/>
      <c r="B39" s="486"/>
      <c r="C39" s="397"/>
      <c r="D39" s="538"/>
      <c r="E39" s="539"/>
      <c r="F39" s="538"/>
      <c r="G39" s="538"/>
      <c r="H39" s="538"/>
      <c r="I39" s="538"/>
      <c r="J39" s="487" t="s">
        <v>278</v>
      </c>
      <c r="K39" s="14"/>
    </row>
    <row r="40" spans="1:13" ht="16.2" thickBot="1">
      <c r="A40" s="414"/>
      <c r="B40" s="100"/>
      <c r="C40" s="111"/>
      <c r="D40" s="1557" t="s">
        <v>96</v>
      </c>
      <c r="E40" s="601"/>
      <c r="F40" s="1424" t="s">
        <v>97</v>
      </c>
      <c r="G40" s="99"/>
      <c r="H40" s="106"/>
      <c r="I40" s="106"/>
      <c r="J40" s="581"/>
      <c r="K40" s="27"/>
      <c r="L40" s="27"/>
      <c r="M40" s="27"/>
    </row>
    <row r="41" spans="1:13" ht="15.6">
      <c r="A41" s="414"/>
      <c r="B41" s="711" t="s">
        <v>127</v>
      </c>
      <c r="C41" s="111"/>
      <c r="D41" s="1407" t="s">
        <v>354</v>
      </c>
      <c r="E41" s="521"/>
      <c r="F41" s="1407" t="s">
        <v>355</v>
      </c>
      <c r="G41" s="99"/>
      <c r="H41" s="99"/>
      <c r="I41" s="99"/>
      <c r="J41" s="490"/>
      <c r="K41" s="26"/>
      <c r="L41" s="27"/>
      <c r="M41" s="27"/>
    </row>
    <row r="42" spans="1:13" ht="15.6">
      <c r="A42" s="414"/>
      <c r="B42" s="99"/>
      <c r="C42" s="111"/>
      <c r="D42" s="105" t="s">
        <v>4</v>
      </c>
      <c r="E42" s="547"/>
      <c r="F42" s="105" t="s">
        <v>4</v>
      </c>
      <c r="G42" s="99"/>
      <c r="H42" s="99"/>
      <c r="I42" s="99"/>
      <c r="J42" s="490"/>
      <c r="K42" s="26"/>
      <c r="L42" s="27"/>
      <c r="M42" s="27"/>
    </row>
    <row r="43" spans="1:13">
      <c r="A43" s="414"/>
      <c r="B43" s="111" t="s">
        <v>1909</v>
      </c>
      <c r="C43" s="111" t="s">
        <v>105</v>
      </c>
      <c r="D43" s="1558">
        <f>((SQRT(2*H22*H10/H20))/H11)*2</f>
        <v>4.0527150951601492</v>
      </c>
      <c r="E43" s="110" t="s">
        <v>1101</v>
      </c>
      <c r="F43" s="59">
        <f>(((H15/H20)*(SQRT(POWER((((H20*H22*H10)/(H15*H15))+1),2)-1)))/H11)*2</f>
        <v>5.8653958461563036</v>
      </c>
      <c r="G43" s="99" t="s">
        <v>1101</v>
      </c>
      <c r="H43" s="100"/>
      <c r="I43" s="99"/>
      <c r="J43" s="490"/>
      <c r="L43" s="27"/>
      <c r="M43" s="27"/>
    </row>
    <row r="44" spans="1:13" ht="15.6">
      <c r="A44" s="414"/>
      <c r="B44" s="111"/>
      <c r="C44" s="111"/>
      <c r="D44" s="113"/>
      <c r="E44" s="110"/>
      <c r="F44" s="114"/>
      <c r="G44" s="99"/>
      <c r="H44" s="131" t="s">
        <v>140</v>
      </c>
      <c r="I44" s="99"/>
      <c r="J44" s="490"/>
      <c r="K44" s="26"/>
      <c r="L44" s="27"/>
      <c r="M44" s="27"/>
    </row>
    <row r="45" spans="1:13" ht="15.6">
      <c r="A45" s="414"/>
      <c r="B45" s="111"/>
      <c r="C45" s="111"/>
      <c r="D45" s="1559"/>
      <c r="E45" s="110"/>
      <c r="F45" s="279"/>
      <c r="G45" s="280"/>
      <c r="H45" s="281"/>
      <c r="I45" s="99"/>
      <c r="J45" s="490"/>
      <c r="K45" s="26"/>
      <c r="L45" s="27"/>
      <c r="M45" s="27"/>
    </row>
    <row r="46" spans="1:13" ht="15.6">
      <c r="A46" s="414"/>
      <c r="B46" s="111"/>
      <c r="C46" s="111"/>
      <c r="D46" s="1560"/>
      <c r="E46" s="110"/>
      <c r="F46" s="282"/>
      <c r="G46" s="283"/>
      <c r="H46" s="284"/>
      <c r="I46" s="99"/>
      <c r="J46" s="490"/>
      <c r="K46" s="26"/>
      <c r="L46" s="27"/>
      <c r="M46" s="27"/>
    </row>
    <row r="47" spans="1:13" ht="15.6">
      <c r="A47" s="414"/>
      <c r="B47" s="111"/>
      <c r="C47" s="111"/>
      <c r="D47" s="1560"/>
      <c r="E47" s="110"/>
      <c r="F47" s="282"/>
      <c r="G47" s="283"/>
      <c r="H47" s="284"/>
      <c r="I47" s="99"/>
      <c r="J47" s="490"/>
      <c r="K47" s="26"/>
      <c r="L47" s="27"/>
      <c r="M47" s="27"/>
    </row>
    <row r="48" spans="1:13" ht="15.6">
      <c r="A48" s="414"/>
      <c r="B48" s="111"/>
      <c r="C48" s="111"/>
      <c r="D48" s="1561"/>
      <c r="E48" s="110"/>
      <c r="F48" s="285"/>
      <c r="G48" s="286"/>
      <c r="H48" s="287"/>
      <c r="I48" s="99"/>
      <c r="J48" s="490"/>
      <c r="K48" s="26"/>
      <c r="L48" s="27"/>
      <c r="M48" s="27"/>
    </row>
    <row r="49" spans="1:13" ht="15.6">
      <c r="A49" s="414"/>
      <c r="B49" s="111"/>
      <c r="C49" s="111"/>
      <c r="D49" s="113"/>
      <c r="E49" s="110"/>
      <c r="F49" s="114"/>
      <c r="G49" s="99"/>
      <c r="H49" s="100"/>
      <c r="I49" s="99"/>
      <c r="J49" s="490"/>
      <c r="K49" s="26"/>
      <c r="L49" s="27"/>
      <c r="M49" s="27"/>
    </row>
    <row r="50" spans="1:13">
      <c r="A50" s="414"/>
      <c r="B50" s="112"/>
      <c r="C50" s="111"/>
      <c r="D50" s="99"/>
      <c r="E50" s="110"/>
      <c r="F50" s="99"/>
      <c r="G50" s="99"/>
      <c r="H50" s="99"/>
      <c r="I50" s="99"/>
      <c r="J50" s="490"/>
      <c r="K50" s="26"/>
      <c r="L50" s="27"/>
      <c r="M50" s="27"/>
    </row>
    <row r="51" spans="1:13">
      <c r="A51" s="414"/>
      <c r="B51" s="111" t="s">
        <v>1908</v>
      </c>
      <c r="C51" s="111" t="s">
        <v>124</v>
      </c>
      <c r="D51" s="1556">
        <f>((SQRT(2*H22*H10/H20))/H11)*2</f>
        <v>4.0527150951601492</v>
      </c>
      <c r="E51" s="110" t="s">
        <v>1101</v>
      </c>
      <c r="F51" s="59">
        <f>(((H15/H20)*ASINH(SQRT(POWER((((H20*H22*H10)/(H15*H15))+1),2)-1)))/H11)*2</f>
        <v>3.539293380512091</v>
      </c>
      <c r="G51" s="99" t="s">
        <v>1101</v>
      </c>
      <c r="H51" s="100"/>
      <c r="I51" s="99"/>
      <c r="J51" s="490"/>
      <c r="L51" s="27"/>
      <c r="M51" s="27"/>
    </row>
    <row r="52" spans="1:13" ht="15.6">
      <c r="A52" s="414"/>
      <c r="B52" s="111"/>
      <c r="C52" s="111"/>
      <c r="D52" s="113"/>
      <c r="E52" s="110"/>
      <c r="F52" s="115"/>
      <c r="G52" s="99"/>
      <c r="H52" s="131" t="s">
        <v>141</v>
      </c>
      <c r="I52" s="99"/>
      <c r="J52" s="490"/>
      <c r="K52" s="27"/>
      <c r="L52" s="27"/>
      <c r="M52" s="27"/>
    </row>
    <row r="53" spans="1:13" ht="15.6">
      <c r="A53" s="414"/>
      <c r="B53" s="111"/>
      <c r="C53" s="1562"/>
      <c r="D53" s="1563"/>
      <c r="E53" s="110"/>
      <c r="F53" s="288"/>
      <c r="G53" s="280"/>
      <c r="H53" s="281"/>
      <c r="I53" s="99"/>
      <c r="J53" s="490"/>
      <c r="K53" s="27"/>
      <c r="L53" s="27"/>
      <c r="M53" s="27"/>
    </row>
    <row r="54" spans="1:13" ht="15.6">
      <c r="A54" s="414"/>
      <c r="B54" s="111"/>
      <c r="C54" s="1564"/>
      <c r="D54" s="1565"/>
      <c r="E54" s="110"/>
      <c r="F54" s="289"/>
      <c r="G54" s="283"/>
      <c r="H54" s="284"/>
      <c r="I54" s="99"/>
      <c r="J54" s="490"/>
      <c r="L54" s="27"/>
      <c r="M54" s="27"/>
    </row>
    <row r="55" spans="1:13" ht="15.6">
      <c r="A55" s="414"/>
      <c r="B55" s="111"/>
      <c r="C55" s="1564"/>
      <c r="D55" s="1565"/>
      <c r="E55" s="110"/>
      <c r="F55" s="289"/>
      <c r="G55" s="283"/>
      <c r="H55" s="284"/>
      <c r="I55" s="99"/>
      <c r="J55" s="490"/>
      <c r="K55" s="27"/>
      <c r="L55" s="27"/>
      <c r="M55" s="27"/>
    </row>
    <row r="56" spans="1:13" ht="15.6">
      <c r="A56" s="414"/>
      <c r="B56" s="111"/>
      <c r="C56" s="1566"/>
      <c r="D56" s="1567"/>
      <c r="E56" s="110"/>
      <c r="F56" s="290"/>
      <c r="G56" s="286"/>
      <c r="H56" s="287"/>
      <c r="I56" s="99"/>
      <c r="J56" s="490"/>
      <c r="K56" s="27"/>
      <c r="L56" s="27"/>
      <c r="M56" s="27"/>
    </row>
    <row r="57" spans="1:13" ht="15.6">
      <c r="A57" s="414"/>
      <c r="B57" s="111"/>
      <c r="C57" s="111"/>
      <c r="D57" s="113"/>
      <c r="E57" s="110"/>
      <c r="F57" s="115"/>
      <c r="G57" s="99"/>
      <c r="H57" s="100"/>
      <c r="I57" s="99"/>
      <c r="J57" s="490"/>
      <c r="K57" s="27"/>
      <c r="L57" s="27"/>
      <c r="M57" s="27"/>
    </row>
    <row r="58" spans="1:13" ht="15.6">
      <c r="A58" s="414"/>
      <c r="B58" s="99"/>
      <c r="C58" s="111"/>
      <c r="D58" s="114"/>
      <c r="E58" s="110"/>
      <c r="F58" s="99"/>
      <c r="G58" s="117" t="s">
        <v>107</v>
      </c>
      <c r="H58" s="60">
        <f>(100/F43)*F51</f>
        <v>60.341935537589542</v>
      </c>
      <c r="I58" s="273" t="s">
        <v>18</v>
      </c>
      <c r="J58" s="490"/>
    </row>
    <row r="59" spans="1:13" ht="11.4" customHeight="1">
      <c r="A59" s="414"/>
      <c r="B59" s="107"/>
      <c r="C59" s="520"/>
      <c r="D59" s="106"/>
      <c r="E59" s="521"/>
      <c r="F59" s="106"/>
      <c r="G59" s="106"/>
      <c r="H59" s="106"/>
      <c r="I59" s="106"/>
      <c r="J59" s="490"/>
    </row>
    <row r="60" spans="1:13" ht="11.4" customHeight="1">
      <c r="A60" s="414"/>
      <c r="B60" s="99"/>
      <c r="C60" s="111"/>
      <c r="D60" s="99"/>
      <c r="E60" s="110"/>
      <c r="F60" s="99"/>
      <c r="G60" s="99"/>
      <c r="H60" s="99"/>
      <c r="I60" s="99"/>
      <c r="J60" s="490"/>
      <c r="K60" s="27"/>
      <c r="L60" s="27"/>
      <c r="M60" s="27"/>
    </row>
    <row r="61" spans="1:13">
      <c r="A61" s="414"/>
      <c r="B61" s="111" t="s">
        <v>1910</v>
      </c>
      <c r="C61" s="111" t="s">
        <v>106</v>
      </c>
      <c r="D61" s="1568">
        <f>(((1/2)*H20*POWER((D43*H11),2))/H10)/2</f>
        <v>4.24</v>
      </c>
      <c r="E61" s="110" t="s">
        <v>98</v>
      </c>
      <c r="F61" s="56">
        <f>((H15*H15/H20)*(SQRT((POWER(((H20*F43*H11/2)/H15),2))+1)-1)/H10)*2</f>
        <v>4.2400000000000011</v>
      </c>
      <c r="G61" s="99" t="s">
        <v>98</v>
      </c>
      <c r="H61" s="100"/>
      <c r="I61" s="99"/>
      <c r="J61" s="490"/>
      <c r="L61" s="27"/>
      <c r="M61" s="27"/>
    </row>
    <row r="62" spans="1:13" ht="15.6">
      <c r="A62" s="414"/>
      <c r="B62" s="111"/>
      <c r="C62" s="111"/>
      <c r="D62" s="113"/>
      <c r="E62" s="110"/>
      <c r="F62" s="113"/>
      <c r="G62" s="99"/>
      <c r="H62" s="131" t="s">
        <v>142</v>
      </c>
      <c r="I62" s="99"/>
      <c r="J62" s="490"/>
      <c r="K62" s="27"/>
      <c r="L62" s="27"/>
      <c r="M62" s="27"/>
    </row>
    <row r="63" spans="1:13" ht="15.6">
      <c r="A63" s="414"/>
      <c r="B63" s="111"/>
      <c r="C63" s="111"/>
      <c r="D63" s="1559"/>
      <c r="E63" s="110"/>
      <c r="F63" s="291"/>
      <c r="G63" s="280"/>
      <c r="H63" s="281"/>
      <c r="I63" s="99"/>
      <c r="J63" s="490"/>
      <c r="K63" s="27"/>
      <c r="L63" s="27"/>
      <c r="M63" s="27"/>
    </row>
    <row r="64" spans="1:13" ht="15.6">
      <c r="A64" s="414"/>
      <c r="B64" s="111"/>
      <c r="C64" s="111"/>
      <c r="D64" s="1560"/>
      <c r="E64" s="110"/>
      <c r="F64" s="292"/>
      <c r="G64" s="283"/>
      <c r="H64" s="284"/>
      <c r="I64" s="99"/>
      <c r="J64" s="490"/>
      <c r="K64" s="27"/>
      <c r="L64" s="27"/>
      <c r="M64" s="27"/>
    </row>
    <row r="65" spans="1:13" ht="15.6">
      <c r="A65" s="414"/>
      <c r="B65" s="111"/>
      <c r="C65" s="111"/>
      <c r="D65" s="1560"/>
      <c r="E65" s="110"/>
      <c r="F65" s="292"/>
      <c r="G65" s="283"/>
      <c r="H65" s="284"/>
      <c r="I65" s="99"/>
      <c r="J65" s="490"/>
      <c r="K65" s="27"/>
      <c r="L65" s="27"/>
      <c r="M65" s="27"/>
    </row>
    <row r="66" spans="1:13" ht="15.6">
      <c r="A66" s="414"/>
      <c r="B66" s="111"/>
      <c r="C66" s="111"/>
      <c r="D66" s="1561"/>
      <c r="E66" s="110"/>
      <c r="F66" s="293"/>
      <c r="G66" s="286"/>
      <c r="H66" s="287"/>
      <c r="I66" s="99"/>
      <c r="J66" s="490"/>
      <c r="K66" s="27"/>
      <c r="L66" s="27"/>
      <c r="M66" s="27"/>
    </row>
    <row r="67" spans="1:13" ht="15.6">
      <c r="A67" s="414"/>
      <c r="B67" s="111"/>
      <c r="C67" s="111"/>
      <c r="D67" s="113"/>
      <c r="E67" s="110"/>
      <c r="F67" s="113"/>
      <c r="G67" s="99"/>
      <c r="H67" s="100"/>
      <c r="I67" s="99"/>
      <c r="J67" s="490"/>
      <c r="K67" s="27"/>
      <c r="L67" s="27"/>
      <c r="M67" s="27"/>
    </row>
    <row r="68" spans="1:13" ht="16.2">
      <c r="A68" s="414"/>
      <c r="B68" s="111" t="s">
        <v>1911</v>
      </c>
      <c r="C68" s="111" t="s">
        <v>125</v>
      </c>
      <c r="D68" s="1568">
        <f>(((1/2)*H20*POWER((D51*H11),2))/H10)/2</f>
        <v>4.24</v>
      </c>
      <c r="E68" s="110" t="s">
        <v>98</v>
      </c>
      <c r="F68" s="64">
        <f>((((POWER(H15,2))/H20)*(((LN(((EXP((2*H20*(F51/2)*H11)/H15))+1)/2))-(H20*(F51/2)*H11)/H15)))/H10)*2</f>
        <v>2.2462145013775237</v>
      </c>
      <c r="G68" s="99" t="s">
        <v>98</v>
      </c>
      <c r="H68" s="100"/>
      <c r="I68" s="99"/>
      <c r="J68" s="490"/>
      <c r="L68" s="27"/>
      <c r="M68" s="27"/>
    </row>
    <row r="69" spans="1:13" ht="15.6">
      <c r="A69" s="414"/>
      <c r="B69" s="111"/>
      <c r="C69" s="111"/>
      <c r="D69" s="113"/>
      <c r="E69" s="110"/>
      <c r="F69" s="116"/>
      <c r="G69" s="99"/>
      <c r="H69" s="131" t="s">
        <v>143</v>
      </c>
      <c r="I69" s="99"/>
      <c r="J69" s="490"/>
      <c r="K69" s="27"/>
      <c r="L69" s="27"/>
      <c r="M69" s="27"/>
    </row>
    <row r="70" spans="1:13" ht="15.6">
      <c r="A70" s="414"/>
      <c r="B70" s="111"/>
      <c r="C70" s="1562"/>
      <c r="D70" s="1563"/>
      <c r="E70" s="110"/>
      <c r="F70" s="294"/>
      <c r="G70" s="280"/>
      <c r="H70" s="281"/>
      <c r="I70" s="99"/>
      <c r="J70" s="490"/>
      <c r="K70" s="27"/>
      <c r="L70" s="27"/>
      <c r="M70" s="27"/>
    </row>
    <row r="71" spans="1:13" ht="15.6">
      <c r="A71" s="414"/>
      <c r="B71" s="111"/>
      <c r="C71" s="1564"/>
      <c r="D71" s="1565"/>
      <c r="E71" s="110"/>
      <c r="F71" s="295"/>
      <c r="G71" s="283"/>
      <c r="H71" s="284"/>
      <c r="I71" s="99"/>
      <c r="J71" s="490"/>
      <c r="K71" s="27"/>
      <c r="L71" s="27"/>
      <c r="M71" s="27"/>
    </row>
    <row r="72" spans="1:13" ht="15.6">
      <c r="A72" s="414"/>
      <c r="B72" s="111"/>
      <c r="C72" s="1566"/>
      <c r="D72" s="1567"/>
      <c r="E72" s="110"/>
      <c r="F72" s="296"/>
      <c r="G72" s="286"/>
      <c r="H72" s="287"/>
      <c r="I72" s="99"/>
      <c r="J72" s="490"/>
      <c r="K72" s="27"/>
      <c r="L72" s="27"/>
      <c r="M72" s="27"/>
    </row>
    <row r="73" spans="1:13" ht="15.6">
      <c r="A73" s="414"/>
      <c r="B73" s="111"/>
      <c r="C73" s="111"/>
      <c r="D73" s="113"/>
      <c r="E73" s="110"/>
      <c r="F73" s="116"/>
      <c r="G73" s="99"/>
      <c r="H73" s="100"/>
      <c r="I73" s="99"/>
      <c r="J73" s="490"/>
      <c r="K73" s="27"/>
      <c r="L73" s="27"/>
      <c r="M73" s="27"/>
    </row>
    <row r="74" spans="1:13" ht="15">
      <c r="A74" s="414"/>
      <c r="B74" s="99"/>
      <c r="C74" s="111"/>
      <c r="D74" s="99"/>
      <c r="E74" s="110"/>
      <c r="F74" s="99"/>
      <c r="G74" s="117" t="s">
        <v>126</v>
      </c>
      <c r="H74" s="1155">
        <f>(100/F61)*F68</f>
        <v>52.976757107960452</v>
      </c>
      <c r="I74" s="99" t="s">
        <v>18</v>
      </c>
      <c r="J74" s="490"/>
    </row>
    <row r="75" spans="1:13" ht="11.4" customHeight="1">
      <c r="A75" s="389"/>
      <c r="B75" s="502"/>
      <c r="C75" s="533"/>
      <c r="D75" s="502"/>
      <c r="E75" s="534"/>
      <c r="F75" s="502"/>
      <c r="G75" s="1156"/>
      <c r="H75" s="1157"/>
      <c r="I75" s="502"/>
      <c r="J75" s="499"/>
    </row>
    <row r="76" spans="1:13" ht="15.6">
      <c r="A76" s="485"/>
      <c r="B76" s="391"/>
      <c r="C76" s="546"/>
      <c r="D76" s="391"/>
      <c r="E76" s="548"/>
      <c r="F76" s="391"/>
      <c r="G76" s="391"/>
      <c r="H76" s="391"/>
      <c r="I76" s="391"/>
      <c r="J76" s="487" t="s">
        <v>279</v>
      </c>
    </row>
    <row r="77" spans="1:13">
      <c r="A77" s="414"/>
      <c r="B77" s="107"/>
      <c r="C77" s="520"/>
      <c r="D77" s="106"/>
      <c r="E77" s="521"/>
      <c r="F77" s="106"/>
      <c r="G77" s="106"/>
      <c r="H77" s="106"/>
      <c r="I77" s="106"/>
      <c r="J77" s="490"/>
    </row>
    <row r="78" spans="1:13">
      <c r="A78" s="414"/>
      <c r="B78" s="111" t="s">
        <v>1933</v>
      </c>
      <c r="C78" s="111" t="s">
        <v>108</v>
      </c>
      <c r="D78" s="1568">
        <f>(H20*D43*H11/H15)/2</f>
        <v>2.0924691514790461</v>
      </c>
      <c r="E78" s="110" t="s">
        <v>102</v>
      </c>
      <c r="F78" s="277">
        <f>((H20*(F43/2)*H11)/(SQRT(POWER(H20*(F43/2)*H11/H15,2)+1))/H15)</f>
        <v>0.94956940511179988</v>
      </c>
      <c r="G78" s="99" t="s">
        <v>102</v>
      </c>
      <c r="H78" s="100"/>
      <c r="I78" s="99"/>
      <c r="J78" s="490"/>
    </row>
    <row r="79" spans="1:13" ht="15.6">
      <c r="A79" s="414"/>
      <c r="B79" s="107"/>
      <c r="C79" s="549"/>
      <c r="D79" s="271"/>
      <c r="E79" s="110"/>
      <c r="F79" s="118"/>
      <c r="G79" s="99"/>
      <c r="H79" s="106"/>
      <c r="I79" s="99"/>
      <c r="J79" s="490"/>
    </row>
    <row r="80" spans="1:13" ht="15.6">
      <c r="A80" s="414"/>
      <c r="B80" s="111"/>
      <c r="C80" s="111"/>
      <c r="D80" s="113"/>
      <c r="E80" s="110"/>
      <c r="F80" s="297"/>
      <c r="G80" s="298"/>
      <c r="H80" s="131" t="s">
        <v>144</v>
      </c>
      <c r="I80" s="99"/>
      <c r="J80" s="490"/>
    </row>
    <row r="81" spans="1:12" ht="15.6">
      <c r="A81" s="414"/>
      <c r="B81" s="111"/>
      <c r="C81" s="111"/>
      <c r="D81" s="1559"/>
      <c r="E81" s="110"/>
      <c r="F81" s="299"/>
      <c r="G81" s="300"/>
      <c r="H81" s="100"/>
      <c r="I81" s="99"/>
      <c r="J81" s="490"/>
    </row>
    <row r="82" spans="1:12" ht="15.6">
      <c r="A82" s="414"/>
      <c r="B82" s="111"/>
      <c r="C82" s="111"/>
      <c r="D82" s="1561"/>
      <c r="E82" s="110"/>
      <c r="F82" s="299"/>
      <c r="G82" s="300"/>
      <c r="H82" s="100"/>
      <c r="I82" s="99"/>
      <c r="J82" s="490"/>
    </row>
    <row r="83" spans="1:12" ht="15.6">
      <c r="A83" s="414"/>
      <c r="B83" s="111"/>
      <c r="C83" s="111"/>
      <c r="D83" s="113"/>
      <c r="E83" s="110"/>
      <c r="F83" s="301"/>
      <c r="G83" s="302"/>
      <c r="H83" s="100"/>
      <c r="I83" s="99"/>
      <c r="J83" s="490"/>
    </row>
    <row r="84" spans="1:12" ht="15.6">
      <c r="A84" s="414"/>
      <c r="B84" s="111"/>
      <c r="C84" s="111"/>
      <c r="D84" s="113"/>
      <c r="E84" s="110"/>
      <c r="F84" s="118"/>
      <c r="G84" s="99"/>
      <c r="H84" s="100"/>
      <c r="I84" s="99"/>
      <c r="J84" s="490"/>
    </row>
    <row r="85" spans="1:12" ht="15.6">
      <c r="A85" s="414"/>
      <c r="B85" s="99"/>
      <c r="C85" s="111"/>
      <c r="D85" s="338"/>
      <c r="E85" s="110"/>
      <c r="F85" s="99"/>
      <c r="G85" s="99"/>
      <c r="H85" s="99"/>
      <c r="I85" s="99"/>
      <c r="J85" s="490"/>
      <c r="K85" s="29"/>
    </row>
    <row r="86" spans="1:12" ht="17.399999999999999">
      <c r="A86" s="414"/>
      <c r="B86" s="111" t="s">
        <v>1934</v>
      </c>
      <c r="C86" s="111" t="s">
        <v>103</v>
      </c>
      <c r="D86" s="1569">
        <f>H20</f>
        <v>9.81</v>
      </c>
      <c r="E86" s="110" t="s">
        <v>99</v>
      </c>
      <c r="F86" s="278">
        <f>H20/(POWER(POWER(H20*(F43/2)*H11/H15,2)+1,3/2))</f>
        <v>0.30242535238370477</v>
      </c>
      <c r="G86" s="99" t="s">
        <v>99</v>
      </c>
      <c r="H86" s="100"/>
      <c r="I86" s="99"/>
      <c r="J86" s="490"/>
      <c r="L86" s="34"/>
    </row>
    <row r="87" spans="1:12" ht="15.6">
      <c r="A87" s="414"/>
      <c r="B87" s="111"/>
      <c r="C87" s="111"/>
      <c r="D87" s="119"/>
      <c r="E87" s="110"/>
      <c r="F87" s="120"/>
      <c r="G87" s="99"/>
      <c r="H87" s="100"/>
      <c r="I87" s="99"/>
      <c r="J87" s="490"/>
    </row>
    <row r="88" spans="1:12" ht="15.6">
      <c r="A88" s="414"/>
      <c r="B88" s="111"/>
      <c r="C88" s="111"/>
      <c r="D88" s="119"/>
      <c r="E88" s="110"/>
      <c r="F88" s="303"/>
      <c r="G88" s="304"/>
      <c r="H88" s="131" t="s">
        <v>145</v>
      </c>
      <c r="I88" s="99"/>
      <c r="J88" s="490"/>
    </row>
    <row r="89" spans="1:12" ht="15.6">
      <c r="A89" s="414"/>
      <c r="B89" s="111"/>
      <c r="C89" s="111"/>
      <c r="D89" s="1570"/>
      <c r="E89" s="110"/>
      <c r="F89" s="305"/>
      <c r="G89" s="306"/>
      <c r="H89" s="100"/>
      <c r="I89" s="99"/>
      <c r="J89" s="490"/>
    </row>
    <row r="90" spans="1:12" ht="15.6">
      <c r="A90" s="414"/>
      <c r="B90" s="111"/>
      <c r="C90" s="111"/>
      <c r="D90" s="1571"/>
      <c r="E90" s="110"/>
      <c r="F90" s="305"/>
      <c r="G90" s="306"/>
      <c r="H90" s="100"/>
      <c r="I90" s="99"/>
      <c r="J90" s="490"/>
    </row>
    <row r="91" spans="1:12" ht="15.6">
      <c r="A91" s="414"/>
      <c r="B91" s="111"/>
      <c r="C91" s="111"/>
      <c r="D91" s="119"/>
      <c r="E91" s="110"/>
      <c r="F91" s="307"/>
      <c r="G91" s="302"/>
      <c r="H91" s="100"/>
      <c r="I91" s="99"/>
      <c r="J91" s="490"/>
    </row>
    <row r="92" spans="1:12" ht="15.6">
      <c r="A92" s="414"/>
      <c r="B92" s="111"/>
      <c r="C92" s="111"/>
      <c r="D92" s="119"/>
      <c r="E92" s="110"/>
      <c r="F92" s="120"/>
      <c r="G92" s="99"/>
      <c r="H92" s="100"/>
      <c r="I92" s="99"/>
      <c r="J92" s="490"/>
    </row>
    <row r="93" spans="1:12">
      <c r="A93" s="414"/>
      <c r="B93" s="99"/>
      <c r="C93" s="111"/>
      <c r="D93" s="99"/>
      <c r="E93" s="110"/>
      <c r="F93" s="99"/>
      <c r="G93" s="99"/>
      <c r="H93" s="99"/>
      <c r="I93" s="99"/>
      <c r="J93" s="490"/>
    </row>
    <row r="94" spans="1:12">
      <c r="A94" s="414"/>
      <c r="B94" s="111" t="s">
        <v>1912</v>
      </c>
      <c r="C94" s="550" t="s">
        <v>1153</v>
      </c>
      <c r="D94" s="1572">
        <v>1</v>
      </c>
      <c r="E94" s="110"/>
      <c r="F94" s="56">
        <f>1/(SQRT(1-((F78*H15*F78*H15)/(H15*H15))))</f>
        <v>3.1892135749457169</v>
      </c>
      <c r="G94" s="99"/>
      <c r="H94" s="100"/>
      <c r="I94" s="99"/>
      <c r="J94" s="490"/>
    </row>
    <row r="95" spans="1:12" ht="15.6">
      <c r="A95" s="414"/>
      <c r="B95" s="111" t="s">
        <v>1913</v>
      </c>
      <c r="C95" s="550"/>
      <c r="D95" s="272"/>
      <c r="E95" s="110"/>
      <c r="F95" s="114"/>
      <c r="G95" s="99"/>
      <c r="H95" s="131" t="s">
        <v>146</v>
      </c>
      <c r="I95" s="99"/>
      <c r="J95" s="490"/>
      <c r="K95" s="15"/>
    </row>
    <row r="96" spans="1:12" ht="15.6">
      <c r="A96" s="414"/>
      <c r="B96" s="111" t="s">
        <v>1154</v>
      </c>
      <c r="C96" s="550"/>
      <c r="D96" s="1573"/>
      <c r="E96" s="110"/>
      <c r="F96" s="279"/>
      <c r="G96" s="280"/>
      <c r="H96" s="308"/>
      <c r="I96" s="304"/>
      <c r="J96" s="490"/>
    </row>
    <row r="97" spans="1:11" ht="15.6">
      <c r="A97" s="414"/>
      <c r="B97" s="111"/>
      <c r="C97" s="550"/>
      <c r="D97" s="1574"/>
      <c r="E97" s="110"/>
      <c r="F97" s="282"/>
      <c r="G97" s="283"/>
      <c r="H97" s="309"/>
      <c r="I97" s="306"/>
      <c r="J97" s="490"/>
      <c r="K97" s="35"/>
    </row>
    <row r="98" spans="1:11" ht="16.5" customHeight="1">
      <c r="A98" s="414"/>
      <c r="B98" s="111"/>
      <c r="C98" s="550"/>
      <c r="D98" s="1574"/>
      <c r="E98" s="110"/>
      <c r="F98" s="282"/>
      <c r="G98" s="283"/>
      <c r="H98" s="309"/>
      <c r="I98" s="306"/>
      <c r="J98" s="490"/>
    </row>
    <row r="99" spans="1:11" ht="15.6">
      <c r="A99" s="414"/>
      <c r="B99" s="111"/>
      <c r="C99" s="550"/>
      <c r="D99" s="1575"/>
      <c r="E99" s="110"/>
      <c r="F99" s="285"/>
      <c r="G99" s="286"/>
      <c r="H99" s="310"/>
      <c r="I99" s="302"/>
      <c r="J99" s="490"/>
    </row>
    <row r="100" spans="1:11" ht="15.6">
      <c r="A100" s="414"/>
      <c r="B100" s="111"/>
      <c r="C100" s="550"/>
      <c r="D100" s="272"/>
      <c r="E100" s="110"/>
      <c r="F100" s="114"/>
      <c r="G100" s="99"/>
      <c r="H100" s="100"/>
      <c r="I100" s="99"/>
      <c r="J100" s="490"/>
      <c r="K100" s="18"/>
    </row>
    <row r="101" spans="1:11">
      <c r="A101" s="414"/>
      <c r="B101" s="122" t="s">
        <v>57</v>
      </c>
      <c r="C101" s="520"/>
      <c r="D101" s="117" t="s">
        <v>128</v>
      </c>
      <c r="E101" s="318">
        <v>1</v>
      </c>
      <c r="F101" s="273" t="s">
        <v>1156</v>
      </c>
      <c r="G101" s="99"/>
      <c r="H101" s="59">
        <f>E101/F94</f>
        <v>0.31355692445809963</v>
      </c>
      <c r="I101" s="273" t="s">
        <v>257</v>
      </c>
      <c r="J101" s="490"/>
    </row>
    <row r="102" spans="1:11">
      <c r="A102" s="414"/>
      <c r="B102" s="99"/>
      <c r="C102" s="124"/>
      <c r="D102" s="99"/>
      <c r="E102" s="110"/>
      <c r="F102" s="99"/>
      <c r="G102" s="99"/>
      <c r="H102" s="99"/>
      <c r="I102" s="99"/>
      <c r="J102" s="490"/>
    </row>
    <row r="103" spans="1:11">
      <c r="A103" s="414"/>
      <c r="B103" s="99"/>
      <c r="C103" s="111"/>
      <c r="D103" s="99"/>
      <c r="E103" s="110"/>
      <c r="F103" s="99"/>
      <c r="G103" s="99"/>
      <c r="H103" s="99"/>
      <c r="I103" s="99"/>
      <c r="J103" s="490"/>
    </row>
    <row r="104" spans="1:11">
      <c r="A104" s="414"/>
      <c r="B104" s="111" t="s">
        <v>1914</v>
      </c>
      <c r="C104" s="550" t="s">
        <v>1152</v>
      </c>
      <c r="D104" s="1572">
        <v>1</v>
      </c>
      <c r="E104" s="110"/>
      <c r="F104" s="56">
        <f>1/(SQRT(1-((F78*H15*F78*H15)/(H15*H15))))</f>
        <v>3.1892135749457169</v>
      </c>
      <c r="G104" s="99"/>
      <c r="H104" s="100"/>
      <c r="I104" s="99"/>
      <c r="J104" s="490"/>
    </row>
    <row r="105" spans="1:11">
      <c r="A105" s="414"/>
      <c r="B105" s="111" t="s">
        <v>1935</v>
      </c>
      <c r="C105" s="111"/>
      <c r="D105" s="99"/>
      <c r="E105" s="110"/>
      <c r="F105" s="99"/>
      <c r="G105" s="99"/>
      <c r="H105" s="131" t="s">
        <v>147</v>
      </c>
      <c r="I105" s="99"/>
      <c r="J105" s="490"/>
    </row>
    <row r="106" spans="1:11">
      <c r="A106" s="414"/>
      <c r="B106" s="523" t="s">
        <v>1155</v>
      </c>
      <c r="C106" s="111"/>
      <c r="D106" s="793"/>
      <c r="E106" s="110"/>
      <c r="F106" s="314"/>
      <c r="G106" s="280"/>
      <c r="H106" s="280"/>
      <c r="I106" s="304"/>
      <c r="J106" s="490"/>
    </row>
    <row r="107" spans="1:11">
      <c r="A107" s="414"/>
      <c r="B107" s="99"/>
      <c r="C107" s="111"/>
      <c r="D107" s="794"/>
      <c r="E107" s="110"/>
      <c r="F107" s="315"/>
      <c r="G107" s="283"/>
      <c r="H107" s="283"/>
      <c r="I107" s="306"/>
      <c r="J107" s="490"/>
    </row>
    <row r="108" spans="1:11">
      <c r="A108" s="414"/>
      <c r="B108" s="99"/>
      <c r="C108" s="111"/>
      <c r="D108" s="794"/>
      <c r="E108" s="110"/>
      <c r="F108" s="315"/>
      <c r="G108" s="283"/>
      <c r="H108" s="283"/>
      <c r="I108" s="306"/>
      <c r="J108" s="490"/>
    </row>
    <row r="109" spans="1:11">
      <c r="A109" s="414"/>
      <c r="B109" s="99"/>
      <c r="C109" s="111"/>
      <c r="D109" s="795"/>
      <c r="E109" s="110"/>
      <c r="F109" s="316"/>
      <c r="G109" s="286"/>
      <c r="H109" s="286"/>
      <c r="I109" s="302"/>
      <c r="J109" s="490"/>
    </row>
    <row r="110" spans="1:11">
      <c r="A110" s="414"/>
      <c r="B110" s="99"/>
      <c r="C110" s="111"/>
      <c r="D110" s="99"/>
      <c r="E110" s="110"/>
      <c r="F110" s="99"/>
      <c r="G110" s="99"/>
      <c r="H110" s="99"/>
      <c r="I110" s="99"/>
      <c r="J110" s="490"/>
    </row>
    <row r="111" spans="1:11">
      <c r="A111" s="414"/>
      <c r="B111" s="122" t="s">
        <v>57</v>
      </c>
      <c r="C111" s="520"/>
      <c r="D111" s="117" t="s">
        <v>1158</v>
      </c>
      <c r="E111" s="317">
        <v>100</v>
      </c>
      <c r="F111" s="273" t="s">
        <v>1157</v>
      </c>
      <c r="G111" s="99"/>
      <c r="H111" s="59">
        <f>E111/F104</f>
        <v>31.355692445809961</v>
      </c>
      <c r="I111" s="273" t="s">
        <v>258</v>
      </c>
      <c r="J111" s="490"/>
    </row>
    <row r="112" spans="1:11">
      <c r="A112" s="389"/>
      <c r="B112" s="502"/>
      <c r="C112" s="545"/>
      <c r="D112" s="502"/>
      <c r="E112" s="534"/>
      <c r="F112" s="502"/>
      <c r="G112" s="502"/>
      <c r="H112" s="502"/>
      <c r="I112" s="502"/>
      <c r="J112" s="499"/>
    </row>
    <row r="113" spans="1:17" ht="15.75" customHeight="1">
      <c r="A113" s="485"/>
      <c r="B113" s="391"/>
      <c r="C113" s="397"/>
      <c r="D113" s="391"/>
      <c r="E113" s="548"/>
      <c r="F113" s="391"/>
      <c r="G113" s="391"/>
      <c r="H113" s="391"/>
      <c r="I113" s="391"/>
      <c r="J113" s="487" t="s">
        <v>280</v>
      </c>
    </row>
    <row r="114" spans="1:17" ht="15.75" customHeight="1">
      <c r="A114" s="414"/>
      <c r="B114" s="712" t="s">
        <v>392</v>
      </c>
      <c r="C114" s="520"/>
      <c r="D114" s="100"/>
      <c r="E114" s="521"/>
      <c r="F114" s="106"/>
      <c r="G114" s="106"/>
      <c r="H114" s="106"/>
      <c r="I114" s="99"/>
      <c r="J114" s="490"/>
    </row>
    <row r="115" spans="1:17" ht="15.75" customHeight="1">
      <c r="A115" s="414"/>
      <c r="B115" s="712" t="s">
        <v>393</v>
      </c>
      <c r="C115" s="520"/>
      <c r="D115" s="106"/>
      <c r="E115" s="521"/>
      <c r="F115" s="106"/>
      <c r="G115" s="106"/>
      <c r="H115" s="106"/>
      <c r="I115" s="106"/>
      <c r="J115" s="417"/>
    </row>
    <row r="116" spans="1:17" ht="15.75" customHeight="1">
      <c r="A116" s="414"/>
      <c r="B116" s="273" t="s">
        <v>878</v>
      </c>
      <c r="C116" s="520"/>
      <c r="D116" s="106"/>
      <c r="E116" s="521"/>
      <c r="F116" s="111" t="s">
        <v>148</v>
      </c>
      <c r="G116" s="111" t="s">
        <v>104</v>
      </c>
      <c r="H116" s="268">
        <v>4.24</v>
      </c>
      <c r="I116" s="108" t="s">
        <v>98</v>
      </c>
      <c r="J116" s="433"/>
    </row>
    <row r="117" spans="1:17" ht="15.75" customHeight="1">
      <c r="A117" s="414"/>
      <c r="B117" s="491" t="s">
        <v>879</v>
      </c>
      <c r="C117" s="223"/>
      <c r="D117" s="342"/>
      <c r="E117" s="521"/>
      <c r="F117" s="506" t="s">
        <v>1886</v>
      </c>
      <c r="G117" s="111" t="s">
        <v>1878</v>
      </c>
      <c r="H117" s="268">
        <v>10000</v>
      </c>
      <c r="I117" s="108" t="s">
        <v>139</v>
      </c>
      <c r="J117" s="433"/>
      <c r="K117" s="1067"/>
      <c r="L117" s="10"/>
    </row>
    <row r="118" spans="1:17" ht="15.75" customHeight="1">
      <c r="A118" s="414"/>
      <c r="B118" s="491" t="s">
        <v>880</v>
      </c>
      <c r="C118" s="223"/>
      <c r="D118" s="106"/>
      <c r="E118" s="521"/>
      <c r="F118" s="860" t="s">
        <v>291</v>
      </c>
      <c r="G118" s="111" t="s">
        <v>31</v>
      </c>
      <c r="H118" s="320">
        <f>9.81*H117</f>
        <v>98100</v>
      </c>
      <c r="I118" s="108" t="s">
        <v>99</v>
      </c>
      <c r="J118" s="433"/>
      <c r="K118" s="8"/>
      <c r="L118" s="10"/>
    </row>
    <row r="119" spans="1:17" ht="15.75" customHeight="1">
      <c r="A119" s="414"/>
      <c r="B119" s="491" t="s">
        <v>881</v>
      </c>
      <c r="C119" s="223"/>
      <c r="D119" s="106"/>
      <c r="E119" s="521"/>
      <c r="F119" s="111" t="s">
        <v>882</v>
      </c>
      <c r="G119" s="111" t="s">
        <v>150</v>
      </c>
      <c r="H119" s="319">
        <v>4.4000000000000002E-6</v>
      </c>
      <c r="I119" s="108" t="s">
        <v>98</v>
      </c>
      <c r="J119" s="433"/>
      <c r="K119" s="1067"/>
      <c r="L119" s="10"/>
    </row>
    <row r="120" spans="1:17" ht="15.6" customHeight="1">
      <c r="A120" s="414"/>
      <c r="B120" s="931"/>
      <c r="C120" s="223"/>
      <c r="D120" s="106"/>
      <c r="E120" s="236"/>
      <c r="F120" s="106"/>
      <c r="G120" s="111" t="s">
        <v>151</v>
      </c>
      <c r="H120" s="321">
        <f>H119/2</f>
        <v>2.2000000000000001E-6</v>
      </c>
      <c r="I120" s="108" t="s">
        <v>98</v>
      </c>
      <c r="J120" s="433"/>
      <c r="K120" s="8"/>
      <c r="L120" s="10"/>
    </row>
    <row r="121" spans="1:17" ht="15.75" customHeight="1">
      <c r="A121" s="414"/>
      <c r="B121" s="931" t="s">
        <v>1604</v>
      </c>
      <c r="C121" s="223"/>
      <c r="D121" s="106"/>
      <c r="E121" s="521"/>
      <c r="F121" s="106"/>
      <c r="G121" s="106"/>
      <c r="H121" s="106"/>
      <c r="I121" s="106"/>
      <c r="J121" s="417"/>
      <c r="K121" s="8"/>
    </row>
    <row r="122" spans="1:17" ht="15.75" customHeight="1">
      <c r="A122" s="414"/>
      <c r="B122" s="931" t="s">
        <v>1605</v>
      </c>
      <c r="C122" s="520"/>
      <c r="D122" s="1142"/>
      <c r="E122" s="521"/>
      <c r="F122" s="106"/>
      <c r="G122" s="106"/>
      <c r="H122" s="106"/>
      <c r="I122" s="106"/>
      <c r="J122" s="490"/>
      <c r="K122" s="8"/>
      <c r="L122" s="10"/>
      <c r="O122" s="4"/>
      <c r="P122" s="4"/>
      <c r="Q122" s="4"/>
    </row>
    <row r="123" spans="1:17" ht="12.6" customHeight="1">
      <c r="A123" s="414"/>
      <c r="B123" s="107"/>
      <c r="C123" s="520"/>
      <c r="D123" s="106"/>
      <c r="E123" s="521"/>
      <c r="F123" s="106"/>
      <c r="G123" s="106"/>
      <c r="H123" s="106"/>
      <c r="I123" s="106"/>
      <c r="J123" s="490"/>
      <c r="K123" s="8"/>
      <c r="L123" s="10"/>
      <c r="O123" s="4"/>
      <c r="P123" s="4"/>
      <c r="Q123" s="4"/>
    </row>
    <row r="124" spans="1:17" ht="15.75" customHeight="1">
      <c r="A124" s="414"/>
      <c r="B124" s="111" t="s">
        <v>1256</v>
      </c>
      <c r="C124" s="111" t="s">
        <v>636</v>
      </c>
      <c r="D124" s="59">
        <f>(((H15/H118)*(SQRT(POWER((((H118*H120*H10)/(H15*H15))+1),2)-1)))/H11)*2</f>
        <v>4.1518550505697747E-5</v>
      </c>
      <c r="E124" s="110" t="s">
        <v>132</v>
      </c>
      <c r="F124" s="131" t="s">
        <v>140</v>
      </c>
      <c r="G124" s="111" t="s">
        <v>636</v>
      </c>
      <c r="H124" s="62">
        <f>D124*H11</f>
        <v>1310.1977952533575</v>
      </c>
      <c r="I124" s="110" t="s">
        <v>0</v>
      </c>
      <c r="J124" s="490"/>
      <c r="K124" s="8"/>
      <c r="L124" s="10"/>
      <c r="O124" s="4"/>
      <c r="P124" s="930"/>
      <c r="Q124" s="4"/>
    </row>
    <row r="125" spans="1:17" ht="15" customHeight="1">
      <c r="A125" s="414"/>
      <c r="B125" s="99"/>
      <c r="C125" s="111"/>
      <c r="D125" s="100"/>
      <c r="E125" s="110"/>
      <c r="F125" s="110"/>
      <c r="G125" s="100"/>
      <c r="H125" s="100"/>
      <c r="I125" s="100"/>
      <c r="J125" s="490"/>
      <c r="K125" s="8"/>
      <c r="L125" s="10"/>
      <c r="O125" s="4"/>
      <c r="P125" s="4"/>
      <c r="Q125" s="4"/>
    </row>
    <row r="126" spans="1:17" ht="15.75" customHeight="1">
      <c r="A126" s="414"/>
      <c r="B126" s="111" t="s">
        <v>1255</v>
      </c>
      <c r="C126" s="111" t="s">
        <v>637</v>
      </c>
      <c r="D126" s="59">
        <f>(((H15/H118)*ASINH(SQRT(POWER((((H118*H120*H10)/(H15*H15))+1),2)-1)))/H11)*2</f>
        <v>4.1206970441122418E-5</v>
      </c>
      <c r="E126" s="110" t="s">
        <v>132</v>
      </c>
      <c r="F126" s="131" t="s">
        <v>141</v>
      </c>
      <c r="G126" s="111" t="s">
        <v>637</v>
      </c>
      <c r="H126" s="62">
        <f>D126*H11</f>
        <v>1300.3652864427363</v>
      </c>
      <c r="I126" s="110" t="s">
        <v>0</v>
      </c>
      <c r="J126" s="490"/>
      <c r="O126" s="626"/>
      <c r="P126" s="4"/>
      <c r="Q126" s="4"/>
    </row>
    <row r="127" spans="1:17" ht="15" customHeight="1">
      <c r="A127" s="414"/>
      <c r="B127" s="99"/>
      <c r="C127" s="111"/>
      <c r="D127" s="494"/>
      <c r="E127" s="110"/>
      <c r="F127" s="100"/>
      <c r="G127" s="100"/>
      <c r="H127" s="100"/>
      <c r="I127" s="100"/>
      <c r="J127" s="490"/>
      <c r="O127" s="3"/>
    </row>
    <row r="128" spans="1:17" ht="15.75" customHeight="1">
      <c r="A128" s="414"/>
      <c r="B128" s="111" t="s">
        <v>134</v>
      </c>
      <c r="C128" s="111" t="s">
        <v>638</v>
      </c>
      <c r="D128" s="63">
        <f>((H15*H15/H118)*(SQRT((POWER(((H118*D124*H11/2)/H15),2))+1)-1)/H10)*2</f>
        <v>4.3999999999999926E-6</v>
      </c>
      <c r="E128" s="110" t="s">
        <v>131</v>
      </c>
      <c r="F128" s="131" t="s">
        <v>142</v>
      </c>
      <c r="G128" s="111" t="s">
        <v>638</v>
      </c>
      <c r="H128" s="62">
        <f>D128*H10/1000</f>
        <v>41627214.079351932</v>
      </c>
      <c r="I128" s="110" t="s">
        <v>28</v>
      </c>
      <c r="J128" s="490"/>
      <c r="O128" s="3"/>
    </row>
    <row r="129" spans="1:15" ht="15" customHeight="1">
      <c r="A129" s="414"/>
      <c r="B129" s="99"/>
      <c r="C129" s="111"/>
      <c r="D129" s="100"/>
      <c r="E129" s="110"/>
      <c r="F129" s="106"/>
      <c r="G129" s="100"/>
      <c r="H129" s="100"/>
      <c r="I129" s="110"/>
      <c r="J129" s="490"/>
      <c r="O129" s="3"/>
    </row>
    <row r="130" spans="1:15" ht="15.75" customHeight="1">
      <c r="A130" s="414"/>
      <c r="B130" s="111" t="s">
        <v>135</v>
      </c>
      <c r="C130" s="111" t="s">
        <v>639</v>
      </c>
      <c r="D130" s="64">
        <f>((((POWER(H15,2))/H118)*(((LN(((EXP((2*H118*(D126/2)*H11)/H15))+1)/2))-(H118*(D126/2)*H11)/H15)))/H10)*2</f>
        <v>4.3507641478622283E-6</v>
      </c>
      <c r="E130" s="110" t="s">
        <v>98</v>
      </c>
      <c r="F130" s="131" t="s">
        <v>143</v>
      </c>
      <c r="G130" s="111" t="s">
        <v>639</v>
      </c>
      <c r="H130" s="62">
        <f>D130*H10/1000</f>
        <v>41161406.952688746</v>
      </c>
      <c r="I130" s="110" t="s">
        <v>28</v>
      </c>
      <c r="J130" s="490"/>
      <c r="O130" s="3"/>
    </row>
    <row r="131" spans="1:15" ht="15" customHeight="1">
      <c r="A131" s="414"/>
      <c r="B131" s="99"/>
      <c r="C131" s="111"/>
      <c r="D131" s="100"/>
      <c r="E131" s="110"/>
      <c r="F131" s="110"/>
      <c r="G131" s="100"/>
      <c r="H131" s="100"/>
      <c r="I131" s="100"/>
      <c r="J131" s="417"/>
    </row>
    <row r="132" spans="1:15" ht="15.75" customHeight="1">
      <c r="A132" s="414"/>
      <c r="B132" s="111" t="s">
        <v>149</v>
      </c>
      <c r="C132" s="111" t="s">
        <v>6</v>
      </c>
      <c r="D132" s="322">
        <f>((H118*(D124/2)*H11)/(SQRT(POWER(H118*(D124/2)*H11/H15,2)+1))/H15)</f>
        <v>0.20960380656847971</v>
      </c>
      <c r="E132" s="110" t="s">
        <v>102</v>
      </c>
      <c r="F132" s="131" t="s">
        <v>144</v>
      </c>
      <c r="G132" s="111" t="s">
        <v>6</v>
      </c>
      <c r="H132" s="62">
        <f>D132*H15/1000</f>
        <v>62837.640377321077</v>
      </c>
      <c r="I132" s="100" t="s">
        <v>5</v>
      </c>
      <c r="J132" s="417"/>
    </row>
    <row r="133" spans="1:15" ht="15" customHeight="1">
      <c r="A133" s="414"/>
      <c r="B133" s="99"/>
      <c r="C133" s="111"/>
      <c r="D133" s="100"/>
      <c r="E133" s="110"/>
      <c r="F133" s="110"/>
      <c r="G133" s="100"/>
      <c r="H133" s="100"/>
      <c r="I133" s="100"/>
      <c r="J133" s="490"/>
      <c r="K133" s="8"/>
      <c r="L133" s="10"/>
    </row>
    <row r="134" spans="1:15" ht="15.75" customHeight="1">
      <c r="A134" s="414"/>
      <c r="B134" s="111" t="s">
        <v>286</v>
      </c>
      <c r="C134" s="111" t="s">
        <v>640</v>
      </c>
      <c r="D134" s="65">
        <f>(H116-D128)</f>
        <v>4.2399956000000003</v>
      </c>
      <c r="E134" s="110" t="s">
        <v>98</v>
      </c>
      <c r="F134" s="162"/>
      <c r="G134" s="100"/>
      <c r="H134" s="100"/>
      <c r="I134" s="100"/>
      <c r="J134" s="490"/>
    </row>
    <row r="135" spans="1:15" ht="15" customHeight="1">
      <c r="A135" s="414"/>
      <c r="B135" s="99"/>
      <c r="C135" s="111"/>
      <c r="D135" s="100"/>
      <c r="E135" s="110"/>
      <c r="F135" s="324"/>
      <c r="G135" s="100"/>
      <c r="H135" s="100"/>
      <c r="I135" s="100"/>
      <c r="J135" s="490"/>
    </row>
    <row r="136" spans="1:15" ht="15.75" customHeight="1">
      <c r="A136" s="414"/>
      <c r="B136" s="111" t="s">
        <v>1887</v>
      </c>
      <c r="C136" s="111" t="s">
        <v>641</v>
      </c>
      <c r="D136" s="65">
        <f>D134*(SQRT(1-(POWER((H132/H14),2))))</f>
        <v>4.1458100342754696</v>
      </c>
      <c r="E136" s="521" t="s">
        <v>98</v>
      </c>
      <c r="F136" s="132"/>
      <c r="G136" s="106"/>
      <c r="H136" s="106"/>
      <c r="I136" s="106"/>
      <c r="J136" s="417"/>
      <c r="K136" s="44"/>
      <c r="L136" s="10"/>
    </row>
    <row r="137" spans="1:15" ht="15" customHeight="1">
      <c r="A137" s="414"/>
      <c r="B137" s="107"/>
      <c r="C137" s="520"/>
      <c r="D137" s="106"/>
      <c r="E137" s="521"/>
      <c r="F137" s="133"/>
      <c r="G137" s="106"/>
      <c r="H137" s="106"/>
      <c r="I137" s="106"/>
      <c r="J137" s="417"/>
      <c r="K137" s="8"/>
      <c r="L137" s="10"/>
    </row>
    <row r="138" spans="1:15" ht="15.75" customHeight="1">
      <c r="A138" s="414"/>
      <c r="B138" s="111" t="s">
        <v>137</v>
      </c>
      <c r="C138" s="111" t="s">
        <v>136</v>
      </c>
      <c r="D138" s="65">
        <f>D128+D134</f>
        <v>4.24</v>
      </c>
      <c r="E138" s="110" t="s">
        <v>98</v>
      </c>
      <c r="F138" s="131"/>
      <c r="G138" s="100"/>
      <c r="H138" s="100"/>
      <c r="I138" s="100"/>
      <c r="J138" s="490"/>
      <c r="K138" s="8"/>
      <c r="L138" s="10"/>
    </row>
    <row r="139" spans="1:15" ht="15" customHeight="1">
      <c r="A139" s="414"/>
      <c r="B139" s="111"/>
      <c r="C139" s="111"/>
      <c r="D139" s="274"/>
      <c r="E139" s="110"/>
      <c r="F139" s="100"/>
      <c r="G139" s="100"/>
      <c r="H139" s="100"/>
      <c r="I139" s="100"/>
      <c r="J139" s="490"/>
      <c r="K139" s="8"/>
      <c r="L139" s="10"/>
    </row>
    <row r="140" spans="1:15" ht="15.75" customHeight="1">
      <c r="A140" s="414"/>
      <c r="B140" s="111" t="s">
        <v>285</v>
      </c>
      <c r="C140" s="111" t="s">
        <v>283</v>
      </c>
      <c r="D140" s="65">
        <f>D130+D136</f>
        <v>4.1458143850396176</v>
      </c>
      <c r="E140" s="110" t="s">
        <v>98</v>
      </c>
      <c r="F140" s="131"/>
      <c r="G140" s="100"/>
      <c r="H140" s="100"/>
      <c r="I140" s="100"/>
      <c r="J140" s="490"/>
      <c r="K140" s="8"/>
      <c r="L140" s="10"/>
    </row>
    <row r="141" spans="1:15" ht="15" customHeight="1">
      <c r="A141" s="414"/>
      <c r="B141" s="111"/>
      <c r="C141" s="111"/>
      <c r="D141" s="274"/>
      <c r="E141" s="110"/>
      <c r="F141" s="100"/>
      <c r="G141" s="100"/>
      <c r="H141" s="100"/>
      <c r="I141" s="100"/>
      <c r="J141" s="490"/>
      <c r="K141" s="8"/>
      <c r="L141" s="10"/>
    </row>
    <row r="142" spans="1:15" ht="15.75" customHeight="1">
      <c r="A142" s="414"/>
      <c r="B142" s="111" t="s">
        <v>287</v>
      </c>
      <c r="C142" s="111" t="s">
        <v>642</v>
      </c>
      <c r="D142" s="65">
        <f>D134/D132</f>
        <v>20.228619267058733</v>
      </c>
      <c r="E142" s="110" t="s">
        <v>132</v>
      </c>
      <c r="F142" s="131"/>
      <c r="G142" s="100"/>
      <c r="H142" s="100"/>
      <c r="I142" s="100"/>
      <c r="J142" s="490"/>
      <c r="K142" s="8"/>
      <c r="L142" s="10"/>
    </row>
    <row r="143" spans="1:15" ht="15" customHeight="1">
      <c r="A143" s="414"/>
      <c r="B143" s="99"/>
      <c r="C143" s="111"/>
      <c r="D143" s="100"/>
      <c r="E143" s="110"/>
      <c r="F143" s="110"/>
      <c r="G143" s="100"/>
      <c r="H143" s="100"/>
      <c r="I143" s="100"/>
      <c r="J143" s="490"/>
      <c r="K143" s="8"/>
      <c r="L143" s="10"/>
    </row>
    <row r="144" spans="1:15" ht="15.75" customHeight="1">
      <c r="A144" s="414"/>
      <c r="B144" s="111" t="s">
        <v>288</v>
      </c>
      <c r="C144" s="111" t="s">
        <v>133</v>
      </c>
      <c r="D144" s="323">
        <f>D142+D124</f>
        <v>20.22866078560924</v>
      </c>
      <c r="E144" s="110" t="s">
        <v>132</v>
      </c>
      <c r="F144" s="131"/>
      <c r="G144" s="100"/>
      <c r="H144" s="100"/>
      <c r="I144" s="100"/>
      <c r="J144" s="490"/>
      <c r="K144" s="8"/>
      <c r="L144" s="10"/>
    </row>
    <row r="145" spans="1:12" ht="15" customHeight="1">
      <c r="A145" s="414"/>
      <c r="B145" s="107"/>
      <c r="C145" s="520"/>
      <c r="D145" s="106"/>
      <c r="E145" s="521"/>
      <c r="F145" s="106"/>
      <c r="G145" s="106"/>
      <c r="H145" s="106"/>
      <c r="I145" s="106"/>
      <c r="J145" s="417"/>
      <c r="K145" s="8"/>
      <c r="L145" s="10"/>
    </row>
    <row r="146" spans="1:12" ht="15.75" customHeight="1">
      <c r="A146" s="414"/>
      <c r="B146" s="111" t="s">
        <v>289</v>
      </c>
      <c r="C146" s="111" t="s">
        <v>643</v>
      </c>
      <c r="D146" s="45">
        <f>D136/D132</f>
        <v>19.779268812663432</v>
      </c>
      <c r="E146" s="110" t="s">
        <v>132</v>
      </c>
      <c r="F146" s="131"/>
      <c r="G146" s="106"/>
      <c r="H146" s="106"/>
      <c r="I146" s="106"/>
      <c r="J146" s="417"/>
      <c r="K146" s="8"/>
      <c r="L146" s="10"/>
    </row>
    <row r="147" spans="1:12" ht="15" customHeight="1">
      <c r="A147" s="414"/>
      <c r="B147" s="107"/>
      <c r="C147" s="520"/>
      <c r="D147" s="106"/>
      <c r="E147" s="521"/>
      <c r="F147" s="106"/>
      <c r="G147" s="106"/>
      <c r="H147" s="106"/>
      <c r="I147" s="106"/>
      <c r="J147" s="417"/>
      <c r="K147" s="8"/>
      <c r="L147" s="10"/>
    </row>
    <row r="148" spans="1:12" ht="15.75" customHeight="1">
      <c r="A148" s="414"/>
      <c r="B148" s="111" t="s">
        <v>290</v>
      </c>
      <c r="C148" s="111" t="s">
        <v>284</v>
      </c>
      <c r="D148" s="323">
        <f>D126+D146</f>
        <v>19.779310019633872</v>
      </c>
      <c r="E148" s="110" t="s">
        <v>132</v>
      </c>
      <c r="F148" s="131"/>
      <c r="G148" s="106"/>
      <c r="H148" s="106"/>
      <c r="I148" s="106"/>
      <c r="J148" s="417"/>
      <c r="K148" s="8"/>
      <c r="L148" s="10"/>
    </row>
    <row r="149" spans="1:12" ht="9" customHeight="1">
      <c r="A149" s="389"/>
      <c r="B149" s="533"/>
      <c r="C149" s="533"/>
      <c r="D149" s="1158"/>
      <c r="E149" s="534"/>
      <c r="F149" s="497"/>
      <c r="G149" s="498"/>
      <c r="H149" s="498"/>
      <c r="I149" s="498"/>
      <c r="J149" s="536"/>
      <c r="K149" s="8"/>
      <c r="L149" s="10"/>
    </row>
    <row r="150" spans="1:12" ht="15.6">
      <c r="A150" s="485"/>
      <c r="B150" s="929"/>
      <c r="C150" s="537"/>
      <c r="D150" s="538"/>
      <c r="E150" s="539"/>
      <c r="F150" s="538"/>
      <c r="G150" s="538"/>
      <c r="H150" s="538"/>
      <c r="I150" s="538"/>
      <c r="J150" s="487" t="s">
        <v>281</v>
      </c>
      <c r="K150" s="8"/>
      <c r="L150" s="10"/>
    </row>
    <row r="151" spans="1:12">
      <c r="A151" s="414"/>
      <c r="B151" s="851" t="s">
        <v>876</v>
      </c>
      <c r="C151" s="520"/>
      <c r="D151" s="106"/>
      <c r="E151" s="521"/>
      <c r="F151" s="106"/>
      <c r="G151" s="106"/>
      <c r="H151" s="106"/>
      <c r="I151" s="106"/>
      <c r="J151" s="417"/>
      <c r="K151" s="8"/>
      <c r="L151" s="10"/>
    </row>
    <row r="152" spans="1:12">
      <c r="A152" s="414"/>
      <c r="B152" s="503" t="s">
        <v>1807</v>
      </c>
      <c r="C152" s="520"/>
      <c r="D152" s="106"/>
      <c r="E152" s="521"/>
      <c r="F152" s="106"/>
      <c r="G152" s="106"/>
      <c r="H152" s="106"/>
      <c r="I152" s="106"/>
      <c r="J152" s="417"/>
      <c r="K152" s="8"/>
      <c r="L152" s="10"/>
    </row>
    <row r="153" spans="1:12">
      <c r="A153" s="414"/>
      <c r="B153" s="503" t="s">
        <v>1806</v>
      </c>
      <c r="C153" s="520"/>
      <c r="D153" s="106"/>
      <c r="E153" s="521"/>
      <c r="F153" s="106"/>
      <c r="G153" s="106"/>
      <c r="H153" s="106"/>
      <c r="I153" s="106"/>
      <c r="J153" s="417"/>
      <c r="K153" s="8"/>
      <c r="L153" s="10"/>
    </row>
    <row r="154" spans="1:12">
      <c r="A154" s="414"/>
      <c r="B154" s="503" t="s">
        <v>1808</v>
      </c>
      <c r="C154" s="520"/>
      <c r="D154" s="106"/>
      <c r="E154" s="521"/>
      <c r="F154" s="106"/>
      <c r="G154" s="106"/>
      <c r="H154" s="106"/>
      <c r="I154" s="106"/>
      <c r="J154" s="417"/>
      <c r="K154" s="8"/>
      <c r="L154" s="10"/>
    </row>
    <row r="155" spans="1:12">
      <c r="A155" s="414"/>
      <c r="B155" s="107"/>
      <c r="C155" s="520"/>
      <c r="D155" s="106"/>
      <c r="E155" s="521"/>
      <c r="F155" s="106"/>
      <c r="G155" s="106"/>
      <c r="H155" s="106"/>
      <c r="I155" s="106"/>
      <c r="J155" s="417"/>
    </row>
    <row r="156" spans="1:12">
      <c r="A156" s="414"/>
      <c r="B156" s="107"/>
      <c r="C156" s="520"/>
      <c r="D156" s="106"/>
      <c r="E156" s="521"/>
      <c r="F156" s="106"/>
      <c r="G156" s="106"/>
      <c r="H156" s="106"/>
      <c r="I156" s="106"/>
      <c r="J156" s="417"/>
    </row>
    <row r="157" spans="1:12">
      <c r="A157" s="414"/>
      <c r="B157" s="107"/>
      <c r="C157" s="520"/>
      <c r="D157" s="106"/>
      <c r="E157" s="521"/>
      <c r="F157" s="106"/>
      <c r="G157" s="106"/>
      <c r="H157" s="106"/>
      <c r="I157" s="106"/>
      <c r="J157" s="417"/>
    </row>
    <row r="158" spans="1:12">
      <c r="A158" s="414"/>
      <c r="B158" s="107"/>
      <c r="C158" s="520"/>
      <c r="D158" s="106"/>
      <c r="E158" s="521"/>
      <c r="F158" s="106"/>
      <c r="G158" s="106"/>
      <c r="H158" s="107"/>
      <c r="I158" s="106"/>
      <c r="J158" s="417"/>
    </row>
    <row r="159" spans="1:12">
      <c r="A159" s="414"/>
      <c r="B159" s="107"/>
      <c r="C159" s="520"/>
      <c r="D159" s="106"/>
      <c r="E159" s="521"/>
      <c r="F159" s="106"/>
      <c r="G159" s="106"/>
      <c r="H159" s="106"/>
      <c r="I159" s="106"/>
      <c r="J159" s="417"/>
    </row>
    <row r="160" spans="1:12">
      <c r="A160" s="414"/>
      <c r="B160" s="107"/>
      <c r="C160" s="520"/>
      <c r="D160" s="106"/>
      <c r="E160" s="521"/>
      <c r="F160" s="106"/>
      <c r="G160" s="106"/>
      <c r="H160" s="106"/>
      <c r="I160" s="106"/>
      <c r="J160" s="417"/>
    </row>
    <row r="161" spans="1:10">
      <c r="A161" s="414"/>
      <c r="B161" s="107"/>
      <c r="C161" s="520"/>
      <c r="D161" s="106"/>
      <c r="E161" s="521"/>
      <c r="F161" s="106"/>
      <c r="G161" s="106"/>
      <c r="H161" s="106"/>
      <c r="I161" s="106"/>
      <c r="J161" s="417"/>
    </row>
    <row r="162" spans="1:10">
      <c r="A162" s="414"/>
      <c r="B162" s="99"/>
      <c r="C162" s="111"/>
      <c r="D162" s="100"/>
      <c r="E162" s="110"/>
      <c r="F162" s="110"/>
      <c r="G162" s="100"/>
      <c r="H162" s="100"/>
      <c r="I162" s="100"/>
      <c r="J162" s="490"/>
    </row>
    <row r="163" spans="1:10">
      <c r="A163" s="414"/>
      <c r="B163" s="107"/>
      <c r="C163" s="520"/>
      <c r="D163" s="106"/>
      <c r="E163" s="521"/>
      <c r="F163" s="106"/>
      <c r="G163" s="106"/>
      <c r="H163" s="107"/>
      <c r="I163" s="106"/>
      <c r="J163" s="417"/>
    </row>
    <row r="164" spans="1:10">
      <c r="A164" s="414"/>
      <c r="B164" s="107"/>
      <c r="C164" s="520"/>
      <c r="D164" s="106"/>
      <c r="E164" s="521"/>
      <c r="F164" s="106"/>
      <c r="G164" s="106"/>
      <c r="H164" s="106"/>
      <c r="I164" s="106"/>
      <c r="J164" s="417"/>
    </row>
    <row r="165" spans="1:10">
      <c r="A165" s="414"/>
      <c r="B165" s="107"/>
      <c r="C165" s="520"/>
      <c r="D165" s="106"/>
      <c r="E165" s="521"/>
      <c r="F165" s="106"/>
      <c r="G165" s="106"/>
      <c r="H165" s="106"/>
      <c r="I165" s="106"/>
      <c r="J165" s="417"/>
    </row>
    <row r="166" spans="1:10">
      <c r="A166" s="414"/>
      <c r="B166" s="107"/>
      <c r="C166" s="520"/>
      <c r="D166" s="106"/>
      <c r="E166" s="521"/>
      <c r="F166" s="106"/>
      <c r="G166" s="106"/>
      <c r="H166" s="106"/>
      <c r="I166" s="106"/>
      <c r="J166" s="417"/>
    </row>
    <row r="167" spans="1:10">
      <c r="A167" s="414"/>
      <c r="B167" s="107"/>
      <c r="C167" s="520"/>
      <c r="D167" s="106"/>
      <c r="E167" s="521"/>
      <c r="F167" s="106"/>
      <c r="G167" s="106"/>
      <c r="H167" s="106"/>
      <c r="I167" s="106"/>
      <c r="J167" s="417"/>
    </row>
    <row r="168" spans="1:10">
      <c r="A168" s="414"/>
      <c r="B168" s="107"/>
      <c r="C168" s="520"/>
      <c r="D168" s="106"/>
      <c r="E168" s="521"/>
      <c r="F168" s="106"/>
      <c r="G168" s="106"/>
      <c r="H168" s="106"/>
      <c r="I168" s="106"/>
      <c r="J168" s="417"/>
    </row>
    <row r="169" spans="1:10">
      <c r="A169" s="414"/>
      <c r="B169" s="107"/>
      <c r="C169" s="520"/>
      <c r="D169" s="106"/>
      <c r="E169" s="521"/>
      <c r="F169" s="106"/>
      <c r="G169" s="106"/>
      <c r="H169" s="106"/>
      <c r="I169" s="106"/>
      <c r="J169" s="417"/>
    </row>
    <row r="170" spans="1:10">
      <c r="A170" s="414"/>
      <c r="B170" s="107"/>
      <c r="C170" s="520"/>
      <c r="D170" s="106"/>
      <c r="E170" s="521"/>
      <c r="F170" s="1139" t="s">
        <v>437</v>
      </c>
      <c r="G170" s="106"/>
      <c r="H170" s="106"/>
      <c r="I170" s="106"/>
      <c r="J170" s="417"/>
    </row>
    <row r="171" spans="1:10">
      <c r="A171" s="414"/>
      <c r="B171" s="107"/>
      <c r="C171" s="520"/>
      <c r="D171" s="106"/>
      <c r="E171" s="521"/>
      <c r="F171" s="551" t="s">
        <v>877</v>
      </c>
      <c r="G171" s="106"/>
      <c r="H171" s="106"/>
      <c r="I171" s="106"/>
      <c r="J171" s="417"/>
    </row>
    <row r="172" spans="1:10">
      <c r="A172" s="414"/>
      <c r="B172" s="107"/>
      <c r="C172" s="520"/>
      <c r="D172" s="106"/>
      <c r="E172" s="521"/>
      <c r="F172" s="551" t="s">
        <v>356</v>
      </c>
      <c r="G172" s="106"/>
      <c r="H172" s="106"/>
      <c r="I172" s="106"/>
      <c r="J172" s="417"/>
    </row>
    <row r="173" spans="1:10">
      <c r="A173" s="414"/>
      <c r="B173" s="107"/>
      <c r="C173" s="520"/>
      <c r="D173" s="106"/>
      <c r="E173" s="521"/>
      <c r="G173" s="106"/>
      <c r="H173" s="106"/>
      <c r="I173" s="106"/>
      <c r="J173" s="417"/>
    </row>
    <row r="174" spans="1:10">
      <c r="A174" s="414"/>
      <c r="B174" s="107"/>
      <c r="C174" s="520"/>
      <c r="D174" s="106"/>
      <c r="E174" s="521"/>
      <c r="F174" s="1139" t="s">
        <v>1682</v>
      </c>
      <c r="G174" s="106"/>
      <c r="H174" s="106"/>
      <c r="I174" s="106"/>
      <c r="J174" s="417"/>
    </row>
    <row r="175" spans="1:10">
      <c r="A175" s="414"/>
      <c r="B175" s="107"/>
      <c r="C175" s="520"/>
      <c r="D175" s="106"/>
      <c r="E175" s="521"/>
      <c r="F175" s="106"/>
      <c r="G175" s="106"/>
      <c r="H175" s="106"/>
      <c r="I175" s="106"/>
      <c r="J175" s="417"/>
    </row>
    <row r="176" spans="1:10">
      <c r="A176" s="414"/>
      <c r="B176" s="107"/>
      <c r="C176" s="520"/>
      <c r="D176" s="106"/>
      <c r="E176" s="521"/>
      <c r="F176" s="106"/>
      <c r="G176" s="106"/>
      <c r="H176" s="106"/>
      <c r="I176" s="106"/>
      <c r="J176" s="417"/>
    </row>
    <row r="177" spans="1:10">
      <c r="A177" s="414"/>
      <c r="B177" s="107"/>
      <c r="C177" s="520"/>
      <c r="D177" s="106"/>
      <c r="E177" s="521"/>
      <c r="F177" s="106"/>
      <c r="G177" s="107"/>
      <c r="H177" s="106"/>
      <c r="I177" s="106"/>
      <c r="J177" s="417"/>
    </row>
    <row r="178" spans="1:10">
      <c r="A178" s="414"/>
      <c r="B178" s="107"/>
      <c r="C178" s="520"/>
      <c r="D178" s="106"/>
      <c r="E178" s="521"/>
      <c r="F178" s="106"/>
      <c r="G178" s="106"/>
      <c r="H178" s="106"/>
      <c r="I178" s="106"/>
      <c r="J178" s="417"/>
    </row>
    <row r="179" spans="1:10">
      <c r="A179" s="414"/>
      <c r="B179" s="107"/>
      <c r="C179" s="520"/>
      <c r="D179" s="106"/>
      <c r="E179" s="521"/>
      <c r="F179" s="106"/>
      <c r="G179" s="106"/>
      <c r="H179" s="106"/>
      <c r="I179" s="106"/>
      <c r="J179" s="417"/>
    </row>
    <row r="180" spans="1:10">
      <c r="A180" s="414"/>
      <c r="B180" s="107"/>
      <c r="C180" s="520"/>
      <c r="D180" s="106"/>
      <c r="E180" s="521"/>
      <c r="F180" s="106"/>
      <c r="G180" s="106"/>
      <c r="H180" s="106"/>
      <c r="I180" s="106"/>
      <c r="J180" s="417"/>
    </row>
    <row r="181" spans="1:10" s="4" customFormat="1">
      <c r="A181" s="414"/>
      <c r="B181" s="107"/>
      <c r="C181" s="107"/>
      <c r="D181" s="107"/>
      <c r="E181" s="107"/>
      <c r="F181" s="107"/>
      <c r="G181" s="107"/>
      <c r="H181" s="107"/>
      <c r="I181" s="107"/>
      <c r="J181" s="417"/>
    </row>
    <row r="182" spans="1:10">
      <c r="A182" s="414"/>
      <c r="B182" s="107"/>
      <c r="C182" s="520"/>
      <c r="D182" s="106"/>
      <c r="E182" s="521"/>
      <c r="F182" s="106"/>
      <c r="G182" s="106"/>
      <c r="H182" s="106"/>
      <c r="I182" s="106"/>
      <c r="J182" s="417"/>
    </row>
    <row r="183" spans="1:10">
      <c r="A183" s="414"/>
      <c r="B183" s="107"/>
      <c r="C183" s="520"/>
      <c r="D183" s="106"/>
      <c r="E183" s="521"/>
      <c r="F183" s="106"/>
      <c r="G183" s="106"/>
      <c r="H183" s="106"/>
      <c r="I183" s="106"/>
      <c r="J183" s="417"/>
    </row>
    <row r="184" spans="1:10" s="4" customFormat="1">
      <c r="A184" s="414"/>
      <c r="B184" s="107"/>
      <c r="C184" s="107"/>
      <c r="D184" s="107"/>
      <c r="E184" s="107"/>
      <c r="F184" s="107"/>
      <c r="G184" s="107"/>
      <c r="H184" s="107"/>
      <c r="I184" s="107"/>
      <c r="J184" s="417"/>
    </row>
    <row r="185" spans="1:10">
      <c r="A185" s="414"/>
      <c r="B185" s="107"/>
      <c r="C185" s="520"/>
      <c r="D185" s="1345"/>
      <c r="E185" s="1346"/>
      <c r="F185" s="1345"/>
      <c r="G185" s="1345"/>
      <c r="H185" s="1345"/>
      <c r="I185" s="1345"/>
      <c r="J185" s="552"/>
    </row>
    <row r="186" spans="1:10">
      <c r="A186" s="414"/>
      <c r="B186" s="107"/>
      <c r="C186" s="520"/>
      <c r="D186" s="106"/>
      <c r="E186" s="117" t="s">
        <v>187</v>
      </c>
      <c r="F186" s="106"/>
      <c r="G186" s="117" t="s">
        <v>188</v>
      </c>
      <c r="H186" s="106"/>
      <c r="I186" s="117" t="s">
        <v>749</v>
      </c>
      <c r="J186" s="417"/>
    </row>
    <row r="187" spans="1:10">
      <c r="A187" s="414"/>
      <c r="B187" s="1092" t="s">
        <v>1683</v>
      </c>
      <c r="C187" s="1274"/>
      <c r="D187" s="106"/>
      <c r="E187" s="521"/>
      <c r="F187" s="117"/>
      <c r="G187" s="117" t="s">
        <v>1809</v>
      </c>
      <c r="H187" s="106"/>
      <c r="I187" s="106"/>
      <c r="J187" s="417"/>
    </row>
    <row r="188" spans="1:10" ht="9.6" customHeight="1">
      <c r="A188" s="389"/>
      <c r="B188" s="850"/>
      <c r="C188" s="553"/>
      <c r="D188" s="498"/>
      <c r="E188" s="535"/>
      <c r="F188" s="927"/>
      <c r="G188" s="498"/>
      <c r="H188" s="498"/>
      <c r="I188" s="498"/>
      <c r="J188" s="536"/>
    </row>
    <row r="201" spans="2:10">
      <c r="B201" s="3"/>
      <c r="C201" s="16"/>
      <c r="D201" s="19"/>
      <c r="E201" s="17"/>
      <c r="F201" s="17"/>
      <c r="G201" s="19"/>
      <c r="H201" s="19"/>
      <c r="I201" s="19"/>
      <c r="J201" s="3"/>
    </row>
    <row r="202" spans="2:10">
      <c r="B202" s="3"/>
      <c r="C202" s="16"/>
      <c r="D202" s="19"/>
      <c r="E202" s="17"/>
      <c r="F202" s="17"/>
      <c r="G202" s="19"/>
      <c r="H202" s="19"/>
      <c r="I202" s="19"/>
      <c r="J202" s="3"/>
    </row>
    <row r="203" spans="2:10">
      <c r="B203" s="3"/>
      <c r="C203" s="16"/>
      <c r="D203" s="19"/>
      <c r="E203" s="17"/>
      <c r="F203" s="17"/>
      <c r="G203" s="19"/>
      <c r="H203" s="19"/>
      <c r="I203" s="19"/>
      <c r="J203" s="3"/>
    </row>
    <row r="204" spans="2:10">
      <c r="B204" s="3"/>
      <c r="C204" s="16"/>
      <c r="D204" s="19"/>
      <c r="E204" s="17"/>
      <c r="F204" s="17"/>
      <c r="G204" s="19"/>
      <c r="H204" s="19"/>
      <c r="I204" s="19"/>
      <c r="J204" s="3"/>
    </row>
    <row r="205" spans="2:10">
      <c r="B205" s="3"/>
      <c r="C205" s="16"/>
      <c r="D205" s="19"/>
      <c r="E205" s="17"/>
      <c r="F205" s="17"/>
      <c r="G205" s="19"/>
      <c r="H205" s="19"/>
      <c r="I205" s="19"/>
      <c r="J205" s="3"/>
    </row>
    <row r="206" spans="2:10">
      <c r="B206" s="3"/>
      <c r="C206" s="16"/>
      <c r="D206" s="19"/>
      <c r="E206" s="17"/>
      <c r="F206" s="17"/>
      <c r="G206" s="19"/>
      <c r="H206" s="19"/>
      <c r="I206" s="19"/>
      <c r="J206" s="3"/>
    </row>
    <row r="207" spans="2:10">
      <c r="B207" s="3"/>
      <c r="C207" s="16"/>
      <c r="D207" s="19"/>
      <c r="E207" s="17"/>
      <c r="F207" s="17"/>
      <c r="G207" s="19"/>
      <c r="H207" s="19"/>
      <c r="I207" s="19"/>
      <c r="J207" s="3"/>
    </row>
    <row r="208" spans="2:10">
      <c r="B208" s="3"/>
      <c r="C208" s="16"/>
      <c r="D208" s="19"/>
      <c r="E208" s="17"/>
      <c r="F208" s="17"/>
      <c r="G208" s="19"/>
      <c r="H208" s="19"/>
      <c r="I208" s="19"/>
      <c r="J208" s="3"/>
    </row>
    <row r="209" spans="1:10">
      <c r="B209" s="3"/>
      <c r="C209" s="16"/>
      <c r="D209" s="19"/>
      <c r="E209" s="17"/>
      <c r="F209" s="17"/>
      <c r="G209" s="19"/>
      <c r="H209" s="19"/>
      <c r="I209" s="19"/>
      <c r="J209" s="3"/>
    </row>
    <row r="210" spans="1:10" s="13" customFormat="1" ht="15">
      <c r="A210" s="99"/>
      <c r="B210" s="28"/>
      <c r="C210" s="28"/>
      <c r="D210" s="37"/>
      <c r="E210" s="38"/>
    </row>
    <row r="211" spans="1:10" s="3" customFormat="1" ht="13.8">
      <c r="A211" s="99"/>
      <c r="C211" s="16"/>
      <c r="D211" s="19"/>
      <c r="E211" s="17"/>
      <c r="F211" s="19"/>
      <c r="G211" s="19"/>
      <c r="H211" s="19"/>
      <c r="I211" s="19"/>
    </row>
    <row r="212" spans="1:10" s="3" customFormat="1" ht="13.8">
      <c r="A212" s="99"/>
      <c r="C212" s="16"/>
      <c r="E212" s="17"/>
      <c r="G212" s="19"/>
      <c r="H212" s="19"/>
      <c r="I212" s="19"/>
    </row>
    <row r="213" spans="1:10" s="3" customFormat="1" ht="13.8">
      <c r="A213" s="99"/>
      <c r="C213" s="16"/>
      <c r="E213" s="17"/>
      <c r="F213" s="17"/>
    </row>
    <row r="214" spans="1:10" s="3" customFormat="1" ht="13.8">
      <c r="A214" s="99"/>
      <c r="C214" s="16"/>
      <c r="E214" s="17"/>
      <c r="F214" s="17"/>
    </row>
    <row r="215" spans="1:10" s="3" customFormat="1" ht="13.8">
      <c r="A215" s="99"/>
      <c r="C215" s="16"/>
      <c r="E215" s="17"/>
    </row>
    <row r="216" spans="1:10" s="3" customFormat="1" ht="13.8">
      <c r="A216" s="99"/>
      <c r="C216" s="16"/>
      <c r="E216" s="17"/>
    </row>
    <row r="217" spans="1:10" s="3" customFormat="1" ht="13.8">
      <c r="A217" s="99"/>
      <c r="C217" s="16"/>
      <c r="E217" s="17"/>
    </row>
    <row r="218" spans="1:10" s="3" customFormat="1" ht="13.8">
      <c r="A218" s="99"/>
      <c r="C218" s="16"/>
      <c r="E218" s="17"/>
    </row>
    <row r="219" spans="1:10" s="3" customFormat="1" ht="13.8">
      <c r="A219" s="99"/>
      <c r="C219" s="16"/>
      <c r="E219" s="17"/>
    </row>
    <row r="220" spans="1:10" s="3" customFormat="1" ht="13.8">
      <c r="A220" s="99"/>
      <c r="C220" s="16"/>
      <c r="E220" s="17"/>
    </row>
    <row r="221" spans="1:10" s="3" customFormat="1" ht="13.8">
      <c r="A221" s="99"/>
      <c r="C221" s="16"/>
      <c r="E221" s="17"/>
    </row>
    <row r="222" spans="1:10" s="3" customFormat="1" ht="13.8">
      <c r="A222" s="99"/>
      <c r="C222" s="16"/>
      <c r="E222" s="17"/>
    </row>
    <row r="223" spans="1:10" s="3" customFormat="1" ht="13.8">
      <c r="A223" s="99"/>
      <c r="C223" s="16"/>
      <c r="E223" s="17"/>
    </row>
    <row r="224" spans="1:10" s="3" customFormat="1" ht="13.8">
      <c r="A224" s="99"/>
      <c r="C224" s="16"/>
      <c r="E224" s="17"/>
    </row>
    <row r="225" spans="1:9" s="3" customFormat="1" ht="13.8">
      <c r="A225" s="99"/>
      <c r="C225" s="16"/>
      <c r="D225" s="19"/>
      <c r="E225" s="17"/>
      <c r="F225" s="19"/>
      <c r="G225" s="19"/>
      <c r="H225" s="19"/>
      <c r="I225" s="19"/>
    </row>
    <row r="226" spans="1:9" s="3" customFormat="1" ht="13.8">
      <c r="A226" s="99"/>
      <c r="C226" s="16"/>
      <c r="D226" s="19"/>
      <c r="E226" s="17"/>
      <c r="F226" s="19"/>
      <c r="G226" s="19"/>
      <c r="H226" s="19"/>
      <c r="I226" s="19"/>
    </row>
    <row r="227" spans="1:9" s="3" customFormat="1" ht="13.8">
      <c r="A227" s="99"/>
      <c r="C227" s="16"/>
      <c r="D227" s="19"/>
      <c r="E227" s="17"/>
      <c r="F227" s="19"/>
      <c r="G227" s="19"/>
      <c r="H227" s="19"/>
      <c r="I227" s="19"/>
    </row>
    <row r="228" spans="1:9" s="3" customFormat="1" ht="13.8">
      <c r="A228" s="99"/>
      <c r="C228" s="16"/>
      <c r="D228" s="19"/>
      <c r="E228" s="17"/>
      <c r="F228" s="19"/>
      <c r="G228" s="19"/>
      <c r="H228" s="19"/>
      <c r="I228" s="19"/>
    </row>
    <row r="229" spans="1:9" s="3" customFormat="1" ht="13.8">
      <c r="A229" s="99"/>
      <c r="C229" s="16"/>
      <c r="D229" s="19"/>
      <c r="E229" s="17"/>
      <c r="F229" s="19"/>
      <c r="G229" s="19"/>
      <c r="H229" s="19"/>
      <c r="I229" s="19"/>
    </row>
    <row r="230" spans="1:9" s="2" customFormat="1">
      <c r="A230" s="347"/>
      <c r="C230" s="39"/>
      <c r="D230" s="36"/>
      <c r="E230" s="40"/>
      <c r="F230" s="36"/>
      <c r="G230" s="36"/>
      <c r="H230" s="36"/>
      <c r="I230" s="36"/>
    </row>
    <row r="231" spans="1:9" s="2" customFormat="1">
      <c r="A231" s="347"/>
      <c r="C231" s="39"/>
      <c r="D231" s="36"/>
      <c r="E231" s="40"/>
      <c r="F231" s="36"/>
      <c r="G231" s="36"/>
      <c r="H231" s="36"/>
      <c r="I231" s="36"/>
    </row>
    <row r="232" spans="1:9" s="2" customFormat="1">
      <c r="A232" s="347"/>
      <c r="C232" s="39"/>
      <c r="D232" s="36"/>
      <c r="E232" s="40"/>
      <c r="F232" s="36"/>
      <c r="G232" s="36"/>
      <c r="H232" s="36"/>
      <c r="I232" s="36"/>
    </row>
    <row r="233" spans="1:9" s="2" customFormat="1">
      <c r="A233" s="347"/>
      <c r="C233" s="39"/>
      <c r="D233" s="36"/>
      <c r="E233" s="40"/>
      <c r="F233" s="36"/>
      <c r="G233" s="36"/>
      <c r="H233" s="36"/>
      <c r="I233" s="36"/>
    </row>
  </sheetData>
  <sheetProtection password="CEBA" sheet="1" objects="1" scenarios="1"/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workbookViewId="0">
      <selection activeCell="J48" sqref="J48"/>
    </sheetView>
  </sheetViews>
  <sheetFormatPr baseColWidth="10" defaultRowHeight="14.4"/>
  <cols>
    <col min="1" max="1" width="8.6640625" customWidth="1"/>
    <col min="2" max="2" width="54.44140625" customWidth="1"/>
    <col min="3" max="3" width="10.6640625" customWidth="1"/>
    <col min="4" max="4" width="18.6640625" customWidth="1"/>
    <col min="5" max="5" width="10.6640625" customWidth="1"/>
    <col min="6" max="6" width="36.6640625" customWidth="1"/>
    <col min="7" max="7" width="4.6640625" customWidth="1"/>
    <col min="8" max="8" width="14" bestFit="1" customWidth="1"/>
    <col min="10" max="10" width="21" bestFit="1" customWidth="1"/>
  </cols>
  <sheetData>
    <row r="1" spans="1:8" s="3" customFormat="1" ht="15.6">
      <c r="A1" s="500"/>
      <c r="B1" s="391"/>
      <c r="C1" s="821" t="s">
        <v>732</v>
      </c>
      <c r="D1" s="391"/>
      <c r="E1" s="391"/>
      <c r="F1" s="391"/>
      <c r="G1" s="487" t="s">
        <v>577</v>
      </c>
    </row>
    <row r="2" spans="1:8" s="3" customFormat="1" ht="15" customHeight="1">
      <c r="A2" s="394"/>
      <c r="B2" s="647"/>
      <c r="C2" s="1115" t="s">
        <v>1149</v>
      </c>
      <c r="D2" s="99"/>
      <c r="E2" s="99"/>
      <c r="F2" s="99"/>
      <c r="G2" s="490"/>
    </row>
    <row r="3" spans="1:8" s="3" customFormat="1" ht="15" customHeight="1">
      <c r="A3" s="394"/>
      <c r="B3" s="647"/>
      <c r="C3" s="723"/>
      <c r="D3" s="99"/>
      <c r="E3" s="99"/>
      <c r="F3" s="99"/>
      <c r="G3" s="490"/>
    </row>
    <row r="4" spans="1:8" s="3" customFormat="1" ht="15.6" customHeight="1">
      <c r="A4" s="1095"/>
      <c r="B4" s="99"/>
      <c r="C4" s="1987" t="s">
        <v>2344</v>
      </c>
      <c r="D4" s="26"/>
      <c r="E4" s="583"/>
      <c r="F4" s="583"/>
      <c r="G4" s="490"/>
    </row>
    <row r="5" spans="1:8" s="3" customFormat="1" ht="15.6" customHeight="1">
      <c r="A5" s="1162" t="s">
        <v>2345</v>
      </c>
      <c r="B5" s="99"/>
      <c r="C5" s="939"/>
      <c r="D5" s="583"/>
      <c r="E5" s="583"/>
      <c r="F5" s="583"/>
      <c r="G5" s="490"/>
    </row>
    <row r="6" spans="1:8" s="3" customFormat="1" ht="15.6" customHeight="1">
      <c r="A6" s="1988" t="s">
        <v>2347</v>
      </c>
      <c r="B6" s="99"/>
      <c r="C6" s="583"/>
      <c r="D6" s="583"/>
      <c r="E6" s="583"/>
      <c r="F6" s="583"/>
      <c r="G6" s="490"/>
    </row>
    <row r="7" spans="1:8" s="3" customFormat="1" ht="15.6" customHeight="1">
      <c r="A7" s="1989" t="s">
        <v>2346</v>
      </c>
      <c r="B7" s="26"/>
      <c r="C7" s="583"/>
      <c r="D7" s="583"/>
      <c r="E7" s="583"/>
      <c r="F7" s="583"/>
      <c r="G7" s="490"/>
    </row>
    <row r="8" spans="1:8" s="3" customFormat="1" ht="15" customHeight="1">
      <c r="A8" s="394"/>
      <c r="B8" s="940"/>
      <c r="C8" s="583"/>
      <c r="D8" s="1114"/>
      <c r="E8" s="583"/>
      <c r="F8" s="583"/>
      <c r="G8" s="490"/>
    </row>
    <row r="9" spans="1:8" s="70" customFormat="1" ht="12.6" customHeight="1">
      <c r="A9" s="329"/>
      <c r="B9" s="854"/>
      <c r="C9" s="108"/>
      <c r="D9" s="108"/>
      <c r="E9" s="108"/>
      <c r="F9" s="108"/>
      <c r="G9" s="493"/>
    </row>
    <row r="10" spans="1:8" s="70" customFormat="1" ht="15" customHeight="1">
      <c r="A10" s="394"/>
      <c r="B10" s="99"/>
      <c r="C10" s="99"/>
      <c r="D10" s="105" t="s">
        <v>329</v>
      </c>
      <c r="E10" s="99"/>
      <c r="F10" s="99"/>
      <c r="G10" s="493"/>
    </row>
    <row r="11" spans="1:8" s="70" customFormat="1" ht="15" customHeight="1">
      <c r="A11" s="394"/>
      <c r="B11" s="506" t="s">
        <v>336</v>
      </c>
      <c r="C11" s="224" t="s">
        <v>51</v>
      </c>
      <c r="D11" s="633">
        <v>299792458</v>
      </c>
      <c r="E11" s="468" t="s">
        <v>678</v>
      </c>
      <c r="F11" s="108"/>
      <c r="G11" s="493"/>
    </row>
    <row r="12" spans="1:8" s="3" customFormat="1" ht="15" customHeight="1">
      <c r="A12" s="329"/>
      <c r="B12" s="506" t="s">
        <v>181</v>
      </c>
      <c r="C12" s="224" t="s">
        <v>673</v>
      </c>
      <c r="D12" s="95">
        <v>6.6742799999999995E-11</v>
      </c>
      <c r="E12" s="220" t="s">
        <v>679</v>
      </c>
      <c r="F12" s="224"/>
      <c r="G12" s="490"/>
    </row>
    <row r="13" spans="1:8" s="3" customFormat="1" ht="15" customHeight="1">
      <c r="A13" s="329"/>
      <c r="B13" s="99"/>
      <c r="C13" s="99"/>
      <c r="D13" s="650"/>
      <c r="E13" s="99"/>
      <c r="F13" s="99"/>
      <c r="G13" s="490"/>
      <c r="H13" s="626"/>
    </row>
    <row r="14" spans="1:8" s="70" customFormat="1" ht="15" customHeight="1">
      <c r="A14" s="394"/>
      <c r="B14" s="99"/>
      <c r="C14" s="99"/>
      <c r="D14" s="105" t="s">
        <v>3</v>
      </c>
      <c r="E14" s="99"/>
      <c r="F14" s="931" t="s">
        <v>1147</v>
      </c>
      <c r="G14" s="493"/>
    </row>
    <row r="15" spans="1:8" s="70" customFormat="1" ht="15" customHeight="1">
      <c r="A15" s="394"/>
      <c r="B15" s="111" t="s">
        <v>1145</v>
      </c>
      <c r="C15" s="111" t="s">
        <v>385</v>
      </c>
      <c r="D15" s="266">
        <v>100</v>
      </c>
      <c r="E15" s="99" t="s">
        <v>680</v>
      </c>
      <c r="F15" s="503" t="s">
        <v>1146</v>
      </c>
      <c r="G15" s="493"/>
      <c r="H15" s="634"/>
    </row>
    <row r="16" spans="1:8" s="3" customFormat="1" ht="15" customHeight="1">
      <c r="A16" s="394"/>
      <c r="B16" s="111" t="s">
        <v>733</v>
      </c>
      <c r="C16" s="111" t="s">
        <v>891</v>
      </c>
      <c r="D16" s="657">
        <v>2</v>
      </c>
      <c r="E16" s="99" t="s">
        <v>681</v>
      </c>
      <c r="F16" s="503" t="s">
        <v>1680</v>
      </c>
      <c r="G16" s="490"/>
    </row>
    <row r="17" spans="1:10" s="3" customFormat="1" ht="15.75" customHeight="1">
      <c r="A17" s="394"/>
      <c r="B17" s="111"/>
      <c r="C17" s="111"/>
      <c r="D17" s="635"/>
      <c r="E17" s="99"/>
      <c r="F17" s="503" t="s">
        <v>2058</v>
      </c>
      <c r="G17" s="417"/>
      <c r="I17" s="22"/>
      <c r="J17"/>
    </row>
    <row r="18" spans="1:10" s="3" customFormat="1" ht="15" customHeight="1">
      <c r="A18" s="394"/>
      <c r="B18" s="111" t="s">
        <v>888</v>
      </c>
      <c r="C18" s="168" t="s">
        <v>674</v>
      </c>
      <c r="D18" s="267">
        <v>5.9720000000000003E+24</v>
      </c>
      <c r="E18" s="468" t="s">
        <v>680</v>
      </c>
      <c r="F18" s="1098" t="s">
        <v>1148</v>
      </c>
      <c r="G18" s="490"/>
    </row>
    <row r="19" spans="1:10" s="3" customFormat="1" ht="15" customHeight="1">
      <c r="A19" s="394"/>
      <c r="B19" s="506" t="s">
        <v>884</v>
      </c>
      <c r="C19" s="168" t="s">
        <v>886</v>
      </c>
      <c r="D19" s="942">
        <v>6373</v>
      </c>
      <c r="E19" s="99" t="s">
        <v>885</v>
      </c>
      <c r="F19" s="491" t="s">
        <v>1542</v>
      </c>
      <c r="G19" s="490"/>
      <c r="I19"/>
    </row>
    <row r="20" spans="1:10" s="13" customFormat="1" ht="15" customHeight="1">
      <c r="A20" s="394"/>
      <c r="B20" s="99"/>
      <c r="C20" s="111" t="s">
        <v>690</v>
      </c>
      <c r="D20" s="1364">
        <f>D19*1000</f>
        <v>6373000</v>
      </c>
      <c r="E20" s="99" t="s">
        <v>681</v>
      </c>
      <c r="F20" s="99"/>
      <c r="G20" s="490"/>
      <c r="J20"/>
    </row>
    <row r="21" spans="1:10" s="3" customFormat="1" ht="15" customHeight="1">
      <c r="A21" s="394"/>
      <c r="B21" s="111" t="s">
        <v>896</v>
      </c>
      <c r="C21" s="168" t="s">
        <v>897</v>
      </c>
      <c r="D21" s="751">
        <v>6373</v>
      </c>
      <c r="E21" s="468" t="s">
        <v>883</v>
      </c>
      <c r="F21" s="937" t="s">
        <v>1278</v>
      </c>
      <c r="G21" s="490"/>
    </row>
    <row r="22" spans="1:10" s="3" customFormat="1" ht="15" customHeight="1">
      <c r="A22" s="394"/>
      <c r="B22" s="111"/>
      <c r="C22" s="168" t="s">
        <v>690</v>
      </c>
      <c r="D22" s="1161">
        <f>D21*1000</f>
        <v>6373000</v>
      </c>
      <c r="E22" s="468" t="s">
        <v>681</v>
      </c>
      <c r="F22" s="167"/>
      <c r="G22" s="490"/>
    </row>
    <row r="23" spans="1:10" s="3" customFormat="1" ht="15" customHeight="1">
      <c r="A23" s="394"/>
      <c r="B23" s="111"/>
      <c r="C23" s="99"/>
      <c r="D23" s="26"/>
      <c r="E23" s="99"/>
      <c r="F23" s="630"/>
      <c r="G23" s="490"/>
    </row>
    <row r="24" spans="1:10" s="3" customFormat="1" ht="15" customHeight="1">
      <c r="A24" s="394"/>
      <c r="B24" s="111" t="s">
        <v>734</v>
      </c>
      <c r="C24" s="111" t="s">
        <v>689</v>
      </c>
      <c r="D24" s="1513">
        <f>2*D12*D18/POWER(D11,2)</f>
        <v>8.869779246450795E-3</v>
      </c>
      <c r="E24" s="112" t="s">
        <v>681</v>
      </c>
      <c r="F24" s="631"/>
      <c r="G24" s="490"/>
    </row>
    <row r="25" spans="1:10" s="3" customFormat="1" ht="12.6" customHeight="1">
      <c r="A25" s="394"/>
      <c r="B25" s="111"/>
      <c r="C25" s="111"/>
      <c r="D25" s="725"/>
      <c r="E25" s="112"/>
      <c r="F25" s="185"/>
      <c r="G25" s="490"/>
      <c r="H25" s="13"/>
    </row>
    <row r="26" spans="1:10" s="3" customFormat="1" ht="15" customHeight="1">
      <c r="A26" s="394"/>
      <c r="B26" s="111" t="s">
        <v>889</v>
      </c>
      <c r="C26" s="111" t="s">
        <v>890</v>
      </c>
      <c r="D26" s="339">
        <v>1</v>
      </c>
      <c r="E26" s="112" t="s">
        <v>692</v>
      </c>
      <c r="F26" s="185"/>
      <c r="G26" s="490"/>
      <c r="H26" s="13"/>
    </row>
    <row r="27" spans="1:10" s="3" customFormat="1" ht="15" customHeight="1">
      <c r="A27" s="394"/>
      <c r="B27" s="111" t="s">
        <v>1547</v>
      </c>
      <c r="C27" s="111" t="s">
        <v>686</v>
      </c>
      <c r="D27" s="339">
        <v>550</v>
      </c>
      <c r="E27" s="112" t="s">
        <v>685</v>
      </c>
      <c r="F27" s="628"/>
      <c r="G27" s="490"/>
      <c r="H27" s="13"/>
    </row>
    <row r="28" spans="1:10" s="3" customFormat="1" ht="15" customHeight="1">
      <c r="A28" s="394"/>
      <c r="B28" s="111" t="s">
        <v>1548</v>
      </c>
      <c r="C28" s="111" t="s">
        <v>687</v>
      </c>
      <c r="D28" s="1514">
        <f xml:space="preserve"> D11*1000000000/D27</f>
        <v>545077196363636.37</v>
      </c>
      <c r="E28" s="112" t="s">
        <v>688</v>
      </c>
      <c r="F28" s="629"/>
      <c r="G28" s="490"/>
      <c r="H28" s="13"/>
    </row>
    <row r="29" spans="1:10" s="3" customFormat="1" ht="13.8" customHeight="1">
      <c r="A29" s="394"/>
      <c r="B29" s="111"/>
      <c r="C29" s="111"/>
      <c r="D29" s="724"/>
      <c r="E29" s="112"/>
      <c r="F29" s="185"/>
      <c r="G29" s="490"/>
      <c r="H29" s="13"/>
    </row>
    <row r="30" spans="1:10" s="3" customFormat="1" ht="13.8" customHeight="1">
      <c r="A30" s="394"/>
      <c r="B30" s="111"/>
      <c r="C30" s="111"/>
      <c r="D30" s="724"/>
      <c r="E30" s="112"/>
      <c r="F30" s="185"/>
      <c r="G30" s="490"/>
      <c r="H30" s="13"/>
      <c r="J30"/>
    </row>
    <row r="31" spans="1:10" s="3" customFormat="1" ht="13.8" customHeight="1">
      <c r="A31" s="394"/>
      <c r="B31" s="111"/>
      <c r="C31" s="111"/>
      <c r="D31" s="724"/>
      <c r="E31" s="112"/>
      <c r="F31" s="185"/>
      <c r="G31" s="490"/>
      <c r="H31" s="13"/>
    </row>
    <row r="32" spans="1:10" s="3" customFormat="1" ht="13.8" customHeight="1">
      <c r="A32" s="394"/>
      <c r="B32" s="99"/>
      <c r="C32" s="99"/>
      <c r="D32" s="724"/>
      <c r="E32" s="112"/>
      <c r="F32" s="185"/>
      <c r="G32" s="490"/>
      <c r="H32" s="13"/>
      <c r="I32" s="632"/>
    </row>
    <row r="33" spans="1:10" s="3" customFormat="1" ht="14.4" customHeight="1">
      <c r="A33" s="394"/>
      <c r="B33" s="1579" t="s">
        <v>35</v>
      </c>
      <c r="C33" s="99"/>
      <c r="D33" s="724"/>
      <c r="E33" s="112"/>
      <c r="F33" s="185"/>
      <c r="G33" s="490"/>
      <c r="H33" s="13"/>
      <c r="I33" s="632"/>
      <c r="J33"/>
    </row>
    <row r="34" spans="1:10" s="3" customFormat="1" ht="15" customHeight="1">
      <c r="A34" s="394"/>
      <c r="B34" s="489" t="s">
        <v>1950</v>
      </c>
      <c r="C34" s="99"/>
      <c r="D34" s="724"/>
      <c r="E34" s="112"/>
      <c r="F34" s="185"/>
      <c r="G34" s="490"/>
      <c r="H34" s="13"/>
      <c r="I34" s="632"/>
    </row>
    <row r="35" spans="1:10" s="3" customFormat="1" ht="15" customHeight="1">
      <c r="A35" s="394"/>
      <c r="B35" s="489" t="s">
        <v>1948</v>
      </c>
      <c r="C35" s="99"/>
      <c r="D35" s="724"/>
      <c r="E35" s="112"/>
      <c r="F35" s="185"/>
      <c r="G35" s="490"/>
      <c r="H35" s="13"/>
      <c r="I35" s="632"/>
    </row>
    <row r="36" spans="1:10" s="3" customFormat="1" ht="15" customHeight="1">
      <c r="A36" s="394"/>
      <c r="B36" s="489" t="s">
        <v>2558</v>
      </c>
      <c r="C36" s="99"/>
      <c r="D36" s="724"/>
      <c r="E36" s="112"/>
      <c r="F36" s="185"/>
      <c r="G36" s="490"/>
      <c r="H36" s="13"/>
      <c r="I36" s="632"/>
    </row>
    <row r="37" spans="1:10" s="3" customFormat="1" ht="14.4" customHeight="1">
      <c r="A37" s="394"/>
      <c r="B37" s="1578" t="s">
        <v>1949</v>
      </c>
      <c r="C37" s="99"/>
      <c r="D37" s="99"/>
      <c r="E37" s="99"/>
      <c r="F37" s="99"/>
      <c r="G37" s="490"/>
      <c r="H37" s="13"/>
      <c r="I37" s="632"/>
    </row>
    <row r="38" spans="1:10" s="3" customFormat="1" ht="14.4" customHeight="1">
      <c r="A38" s="496"/>
      <c r="B38" s="512"/>
      <c r="C38" s="502"/>
      <c r="D38" s="502"/>
      <c r="E38" s="502"/>
      <c r="F38" s="502"/>
      <c r="G38" s="499"/>
      <c r="H38" s="13"/>
      <c r="I38" s="632"/>
      <c r="J38"/>
    </row>
    <row r="39" spans="1:10" s="3" customFormat="1" ht="15" customHeight="1">
      <c r="A39" s="500"/>
      <c r="B39" s="546"/>
      <c r="C39" s="546"/>
      <c r="D39" s="728"/>
      <c r="E39" s="645"/>
      <c r="F39" s="729"/>
      <c r="G39" s="487" t="s">
        <v>576</v>
      </c>
      <c r="H39" s="13"/>
      <c r="I39" s="632"/>
    </row>
    <row r="40" spans="1:10" s="3" customFormat="1" ht="15" customHeight="1">
      <c r="A40" s="394"/>
      <c r="B40" s="99"/>
      <c r="C40" s="349" t="s">
        <v>693</v>
      </c>
      <c r="D40" s="99"/>
      <c r="E40" s="99"/>
      <c r="F40" s="26"/>
      <c r="G40" s="490"/>
      <c r="H40" s="13"/>
    </row>
    <row r="41" spans="1:10" s="3" customFormat="1" ht="15" customHeight="1">
      <c r="A41" s="394"/>
      <c r="B41" s="99"/>
      <c r="C41" s="99"/>
      <c r="D41" s="105" t="s">
        <v>4</v>
      </c>
      <c r="E41" s="99"/>
      <c r="F41" s="730"/>
      <c r="G41" s="490"/>
      <c r="H41" s="13"/>
    </row>
    <row r="42" spans="1:10" s="3" customFormat="1" ht="15" customHeight="1">
      <c r="A42" s="394"/>
      <c r="B42" s="111" t="s">
        <v>1286</v>
      </c>
      <c r="C42" s="111" t="s">
        <v>677</v>
      </c>
      <c r="D42" s="1354">
        <f>D12*(D15*D18/POWER((D22),2))</f>
        <v>981.37814999922807</v>
      </c>
      <c r="E42" s="99" t="s">
        <v>682</v>
      </c>
      <c r="F42" s="311"/>
      <c r="G42" s="490"/>
    </row>
    <row r="43" spans="1:10" s="3" customFormat="1" ht="15" customHeight="1">
      <c r="A43" s="394"/>
      <c r="B43" s="111" t="s">
        <v>887</v>
      </c>
      <c r="C43" s="111" t="s">
        <v>700</v>
      </c>
      <c r="D43" s="1515">
        <f>100*D42/(D12*(D15*D18)/POWER((D20),2))</f>
        <v>100</v>
      </c>
      <c r="E43" s="99" t="s">
        <v>699</v>
      </c>
      <c r="F43" s="608"/>
      <c r="G43" s="490"/>
    </row>
    <row r="44" spans="1:10" s="3" customFormat="1" ht="15" customHeight="1">
      <c r="A44" s="394"/>
      <c r="B44" s="343"/>
      <c r="C44" s="99"/>
      <c r="D44" s="99"/>
      <c r="E44" s="99"/>
      <c r="F44" s="99"/>
      <c r="G44" s="490"/>
    </row>
    <row r="45" spans="1:10" s="3" customFormat="1" ht="15" customHeight="1">
      <c r="A45" s="394"/>
      <c r="B45" s="343"/>
      <c r="C45" s="349" t="s">
        <v>1951</v>
      </c>
      <c r="D45" s="99"/>
      <c r="E45" s="99"/>
      <c r="F45" s="99"/>
      <c r="G45" s="490"/>
      <c r="I45"/>
    </row>
    <row r="46" spans="1:10" s="3" customFormat="1" ht="15" customHeight="1">
      <c r="A46" s="394"/>
      <c r="B46" s="343"/>
      <c r="C46" s="123"/>
      <c r="D46" s="99"/>
      <c r="E46" s="99"/>
      <c r="F46" s="99"/>
      <c r="G46" s="490"/>
    </row>
    <row r="47" spans="1:10" s="3" customFormat="1" ht="15" customHeight="1">
      <c r="A47" s="394"/>
      <c r="B47" s="343"/>
      <c r="C47" s="99"/>
      <c r="D47" s="99"/>
      <c r="E47" s="99"/>
      <c r="F47" s="311"/>
      <c r="G47" s="490"/>
      <c r="J47"/>
    </row>
    <row r="48" spans="1:10" s="3" customFormat="1" ht="15" customHeight="1">
      <c r="A48" s="394"/>
      <c r="B48" s="111" t="s">
        <v>1285</v>
      </c>
      <c r="C48" s="111" t="s">
        <v>683</v>
      </c>
      <c r="D48" s="55">
        <f>D11*SQRT(D24/D22)/1000</f>
        <v>11.184205783107785</v>
      </c>
      <c r="E48" s="99" t="s">
        <v>684</v>
      </c>
      <c r="F48" s="98"/>
      <c r="G48" s="490"/>
      <c r="J48"/>
    </row>
    <row r="49" spans="1:11" s="3" customFormat="1" ht="15" customHeight="1">
      <c r="A49" s="394"/>
      <c r="B49" s="111" t="s">
        <v>1293</v>
      </c>
      <c r="C49" s="111" t="s">
        <v>701</v>
      </c>
      <c r="D49" s="936">
        <f>(100/(D11*SQRT(D24/(D20)))*D48)*1000</f>
        <v>100</v>
      </c>
      <c r="E49" s="99" t="s">
        <v>699</v>
      </c>
      <c r="F49" s="313"/>
      <c r="G49" s="490"/>
      <c r="K49"/>
    </row>
    <row r="50" spans="1:11" s="3" customFormat="1" ht="15" customHeight="1">
      <c r="A50" s="394"/>
      <c r="B50" s="223"/>
      <c r="C50" s="111"/>
      <c r="D50" s="731"/>
      <c r="E50" s="99"/>
      <c r="F50" s="99"/>
      <c r="G50" s="490"/>
      <c r="K50"/>
    </row>
    <row r="51" spans="1:11" s="3" customFormat="1" ht="15" customHeight="1">
      <c r="A51" s="394"/>
      <c r="B51" s="343"/>
      <c r="C51" s="349" t="s">
        <v>1952</v>
      </c>
      <c r="D51" s="99"/>
      <c r="E51" s="99"/>
      <c r="F51" s="99"/>
      <c r="G51" s="490"/>
    </row>
    <row r="52" spans="1:11" s="3" customFormat="1" ht="15" customHeight="1">
      <c r="A52" s="394"/>
      <c r="B52" s="343"/>
      <c r="C52" s="123"/>
      <c r="D52" s="99"/>
      <c r="E52" s="99"/>
      <c r="F52" s="99"/>
      <c r="G52" s="490"/>
    </row>
    <row r="53" spans="1:11" s="3" customFormat="1" ht="15" customHeight="1">
      <c r="A53" s="394"/>
      <c r="B53" s="343"/>
      <c r="C53" s="99"/>
      <c r="D53" s="99"/>
      <c r="E53" s="99"/>
      <c r="F53" s="311"/>
      <c r="G53" s="490"/>
    </row>
    <row r="54" spans="1:11" s="3" customFormat="1" ht="15" customHeight="1">
      <c r="A54" s="394"/>
      <c r="B54" s="111" t="s">
        <v>1953</v>
      </c>
      <c r="C54" s="111" t="s">
        <v>691</v>
      </c>
      <c r="D54" s="1353">
        <f>D11*SQRT(D24/(2*D22))/1000</f>
        <v>7.908427751421315</v>
      </c>
      <c r="E54" s="99" t="s">
        <v>684</v>
      </c>
      <c r="F54" s="312"/>
      <c r="G54" s="490"/>
      <c r="H54" s="24"/>
      <c r="J54"/>
    </row>
    <row r="55" spans="1:11" s="3" customFormat="1" ht="15" customHeight="1">
      <c r="A55" s="394"/>
      <c r="B55" s="111" t="s">
        <v>1954</v>
      </c>
      <c r="C55" s="111" t="s">
        <v>702</v>
      </c>
      <c r="D55" s="1516">
        <f>(100*D54/(D11*SQRT(D24/(2*D20))))*1000</f>
        <v>99.999999999999986</v>
      </c>
      <c r="E55" s="99" t="s">
        <v>699</v>
      </c>
      <c r="F55" s="313"/>
      <c r="G55" s="490"/>
    </row>
    <row r="56" spans="1:11" s="626" customFormat="1" ht="15" customHeight="1">
      <c r="A56" s="394"/>
      <c r="B56" s="223"/>
      <c r="C56" s="111"/>
      <c r="D56" s="731"/>
      <c r="E56" s="99"/>
      <c r="F56" s="99"/>
      <c r="G56" s="490"/>
    </row>
    <row r="57" spans="1:11" s="626" customFormat="1" ht="15" customHeight="1">
      <c r="A57" s="394"/>
      <c r="B57" s="223"/>
      <c r="C57" s="111"/>
      <c r="D57" s="731"/>
      <c r="E57" s="99"/>
      <c r="F57" s="99"/>
      <c r="G57" s="490"/>
    </row>
    <row r="58" spans="1:11" s="626" customFormat="1" ht="15" customHeight="1">
      <c r="A58" s="394"/>
      <c r="B58" s="223"/>
      <c r="C58" s="111"/>
      <c r="D58" s="731"/>
      <c r="E58" s="99"/>
      <c r="F58" s="99"/>
      <c r="G58" s="490"/>
      <c r="J58"/>
    </row>
    <row r="59" spans="1:11" s="3" customFormat="1" ht="15" customHeight="1">
      <c r="A59" s="394"/>
      <c r="B59" s="223"/>
      <c r="C59" s="111"/>
      <c r="D59" s="731"/>
      <c r="E59" s="99"/>
      <c r="F59" s="99"/>
      <c r="G59" s="490"/>
    </row>
    <row r="60" spans="1:11" s="3" customFormat="1" ht="15" customHeight="1">
      <c r="A60" s="394"/>
      <c r="B60" s="123" t="s">
        <v>703</v>
      </c>
      <c r="C60" s="99"/>
      <c r="D60" s="99"/>
      <c r="E60" s="99"/>
      <c r="F60" s="730"/>
      <c r="G60" s="490"/>
    </row>
    <row r="61" spans="1:11" s="3" customFormat="1" ht="15" customHeight="1">
      <c r="A61" s="394"/>
      <c r="B61" s="99"/>
      <c r="C61" s="99"/>
      <c r="D61" s="99"/>
      <c r="E61" s="99"/>
      <c r="F61" s="311"/>
      <c r="G61" s="490"/>
    </row>
    <row r="62" spans="1:11" s="3" customFormat="1" ht="15" customHeight="1">
      <c r="A62" s="394"/>
      <c r="B62" s="726" t="s">
        <v>1284</v>
      </c>
      <c r="C62" s="122" t="s">
        <v>2170</v>
      </c>
      <c r="D62" s="1517">
        <f>1/(SQRT(1-(D24/D22)))</f>
        <v>1.0000000006958873</v>
      </c>
      <c r="E62" s="99"/>
      <c r="F62" s="312"/>
      <c r="G62" s="490"/>
      <c r="J62" s="23"/>
    </row>
    <row r="63" spans="1:11" s="3" customFormat="1" ht="15" customHeight="1">
      <c r="A63" s="394"/>
      <c r="B63" s="223"/>
      <c r="C63" s="99"/>
      <c r="D63" s="99"/>
      <c r="E63" s="99"/>
      <c r="F63" s="313"/>
      <c r="G63" s="490"/>
    </row>
    <row r="64" spans="1:11" s="3" customFormat="1" ht="13.2" customHeight="1">
      <c r="A64" s="394"/>
      <c r="B64" s="26"/>
      <c r="C64" s="99"/>
      <c r="D64" s="99"/>
      <c r="E64" s="99"/>
      <c r="F64" s="99"/>
      <c r="G64" s="490"/>
    </row>
    <row r="65" spans="1:11" s="3" customFormat="1" ht="15" customHeight="1">
      <c r="A65" s="394"/>
      <c r="B65" s="351" t="s">
        <v>271</v>
      </c>
      <c r="C65" s="99"/>
      <c r="D65" s="99"/>
      <c r="E65" s="99"/>
      <c r="F65" s="99"/>
      <c r="G65" s="490"/>
    </row>
    <row r="66" spans="1:11" s="3" customFormat="1" ht="15" customHeight="1">
      <c r="A66" s="394"/>
      <c r="B66" s="99" t="s">
        <v>1549</v>
      </c>
      <c r="C66" s="99"/>
      <c r="D66" s="99"/>
      <c r="E66" s="99"/>
      <c r="F66" s="99"/>
      <c r="G66" s="490"/>
    </row>
    <row r="67" spans="1:11" s="3" customFormat="1" ht="13.2" customHeight="1">
      <c r="A67" s="394"/>
      <c r="B67" s="343"/>
      <c r="C67" s="99"/>
      <c r="D67" s="99"/>
      <c r="E67" s="99"/>
      <c r="F67" s="99"/>
      <c r="G67" s="490"/>
    </row>
    <row r="68" spans="1:11" s="3" customFormat="1" ht="13.2" customHeight="1">
      <c r="A68" s="394"/>
      <c r="B68" s="343"/>
      <c r="C68" s="99"/>
      <c r="D68" s="99"/>
      <c r="E68" s="99"/>
      <c r="F68" s="99"/>
      <c r="G68" s="490"/>
    </row>
    <row r="69" spans="1:11" s="3" customFormat="1" ht="15" customHeight="1">
      <c r="A69" s="394"/>
      <c r="B69" s="343"/>
      <c r="C69" s="99"/>
      <c r="D69" s="99"/>
      <c r="E69" s="99"/>
      <c r="F69" s="99"/>
      <c r="G69" s="490"/>
      <c r="J69"/>
    </row>
    <row r="70" spans="1:11" s="3" customFormat="1" ht="15" customHeight="1">
      <c r="A70" s="394"/>
      <c r="B70" s="343"/>
      <c r="C70" s="123" t="s">
        <v>1554</v>
      </c>
      <c r="D70" s="99"/>
      <c r="E70" s="99"/>
      <c r="F70" s="99"/>
      <c r="G70" s="490"/>
      <c r="J70"/>
      <c r="K70"/>
    </row>
    <row r="71" spans="1:11" s="3" customFormat="1" ht="15" customHeight="1">
      <c r="A71" s="394"/>
      <c r="B71" s="343"/>
      <c r="C71" s="337" t="s">
        <v>1552</v>
      </c>
      <c r="D71" s="99"/>
      <c r="E71" s="99"/>
      <c r="F71" s="99"/>
      <c r="G71" s="490"/>
      <c r="J71"/>
      <c r="K71"/>
    </row>
    <row r="72" spans="1:11" s="70" customFormat="1" ht="15" customHeight="1">
      <c r="A72" s="329"/>
      <c r="B72" s="664"/>
      <c r="C72" s="130" t="s">
        <v>1553</v>
      </c>
      <c r="D72" s="108"/>
      <c r="E72" s="108"/>
      <c r="F72" s="108"/>
      <c r="G72" s="493"/>
      <c r="K72" s="53"/>
    </row>
    <row r="73" spans="1:11" s="3" customFormat="1" ht="15" customHeight="1">
      <c r="A73" s="394"/>
      <c r="B73" s="343"/>
      <c r="C73" s="99"/>
      <c r="D73" s="99"/>
      <c r="E73" s="99"/>
      <c r="F73" s="99"/>
      <c r="G73" s="490"/>
      <c r="J73"/>
    </row>
    <row r="74" spans="1:11" s="3" customFormat="1" ht="15" customHeight="1">
      <c r="A74" s="394"/>
      <c r="B74" s="111" t="s">
        <v>1283</v>
      </c>
      <c r="C74" s="111" t="s">
        <v>695</v>
      </c>
      <c r="D74" s="1518">
        <f>D26/D62</f>
        <v>0.99999999930411265</v>
      </c>
      <c r="E74" s="108" t="s">
        <v>692</v>
      </c>
      <c r="F74" s="311"/>
      <c r="G74" s="490"/>
      <c r="I74"/>
    </row>
    <row r="75" spans="1:11" s="3" customFormat="1" ht="15" customHeight="1">
      <c r="A75" s="394"/>
      <c r="B75" s="111" t="s">
        <v>1290</v>
      </c>
      <c r="C75" s="111" t="s">
        <v>1287</v>
      </c>
      <c r="D75" s="1519">
        <f>(100/D26)*D74</f>
        <v>99.999999930411263</v>
      </c>
      <c r="E75" s="99" t="s">
        <v>699</v>
      </c>
      <c r="F75" s="313"/>
      <c r="G75" s="490"/>
    </row>
    <row r="76" spans="1:11" s="3" customFormat="1" ht="13.2" customHeight="1">
      <c r="A76" s="496"/>
      <c r="B76" s="727"/>
      <c r="C76" s="502"/>
      <c r="D76" s="502"/>
      <c r="E76" s="502"/>
      <c r="F76" s="502"/>
      <c r="G76" s="499"/>
    </row>
    <row r="77" spans="1:11" s="3" customFormat="1" ht="15" customHeight="1">
      <c r="A77" s="500"/>
      <c r="B77" s="555"/>
      <c r="C77" s="391"/>
      <c r="D77" s="391"/>
      <c r="E77" s="391"/>
      <c r="F77" s="391"/>
      <c r="G77" s="487" t="s">
        <v>575</v>
      </c>
    </row>
    <row r="78" spans="1:11" s="3" customFormat="1" ht="15" customHeight="1">
      <c r="A78" s="394"/>
      <c r="B78" s="343"/>
      <c r="C78" s="123" t="s">
        <v>1555</v>
      </c>
      <c r="D78" s="99"/>
      <c r="E78" s="99"/>
      <c r="F78" s="99"/>
      <c r="G78" s="490"/>
    </row>
    <row r="79" spans="1:11" s="636" customFormat="1" ht="15" customHeight="1">
      <c r="A79" s="732"/>
      <c r="B79" s="733"/>
      <c r="C79" s="337" t="s">
        <v>892</v>
      </c>
      <c r="D79" s="734"/>
      <c r="E79" s="734"/>
      <c r="F79" s="734"/>
      <c r="G79" s="735"/>
    </row>
    <row r="80" spans="1:11" s="70" customFormat="1" ht="15" customHeight="1">
      <c r="A80" s="329"/>
      <c r="B80" s="664"/>
      <c r="C80" s="337" t="s">
        <v>893</v>
      </c>
      <c r="D80" s="108"/>
      <c r="E80" s="108"/>
      <c r="F80" s="108"/>
      <c r="G80" s="493"/>
    </row>
    <row r="81" spans="1:10" s="3" customFormat="1" ht="15" customHeight="1">
      <c r="A81" s="394"/>
      <c r="B81" s="343"/>
      <c r="C81" s="99"/>
      <c r="D81" s="26"/>
      <c r="E81" s="99"/>
      <c r="F81" s="13"/>
      <c r="G81" s="490"/>
    </row>
    <row r="82" spans="1:10" s="3" customFormat="1" ht="15" customHeight="1">
      <c r="A82" s="394"/>
      <c r="B82" s="111" t="s">
        <v>1280</v>
      </c>
      <c r="C82" s="111" t="s">
        <v>1288</v>
      </c>
      <c r="D82" s="61">
        <f>D16/D62</f>
        <v>1.9999999986082253</v>
      </c>
      <c r="E82" s="99" t="s">
        <v>681</v>
      </c>
      <c r="F82" s="311"/>
      <c r="G82" s="490"/>
    </row>
    <row r="83" spans="1:10" s="3" customFormat="1" ht="15" customHeight="1">
      <c r="A83" s="394"/>
      <c r="B83" s="111" t="s">
        <v>1279</v>
      </c>
      <c r="C83" s="111" t="s">
        <v>1289</v>
      </c>
      <c r="D83" s="690">
        <f>(100/D16)*D82</f>
        <v>99.999999930411263</v>
      </c>
      <c r="E83" s="99" t="s">
        <v>699</v>
      </c>
      <c r="F83" s="313"/>
      <c r="G83" s="490"/>
      <c r="J83"/>
    </row>
    <row r="84" spans="1:10" s="3" customFormat="1" ht="15" customHeight="1">
      <c r="A84" s="394"/>
      <c r="B84" s="99"/>
      <c r="C84" s="99"/>
      <c r="D84" s="99"/>
      <c r="E84" s="99"/>
      <c r="F84" s="99"/>
      <c r="G84" s="490"/>
    </row>
    <row r="85" spans="1:10" s="3" customFormat="1" ht="15" customHeight="1">
      <c r="A85" s="394"/>
      <c r="B85" s="99"/>
      <c r="C85" s="99"/>
      <c r="D85" s="99"/>
      <c r="E85" s="99"/>
      <c r="F85" s="99"/>
      <c r="G85" s="490"/>
    </row>
    <row r="86" spans="1:10" s="3" customFormat="1" ht="15" customHeight="1">
      <c r="A86" s="394"/>
      <c r="B86" s="99"/>
      <c r="C86" s="123" t="s">
        <v>1556</v>
      </c>
      <c r="D86" s="99"/>
      <c r="E86" s="99"/>
      <c r="F86" s="99"/>
      <c r="G86" s="490"/>
      <c r="J86"/>
    </row>
    <row r="87" spans="1:10" s="3" customFormat="1" ht="15" customHeight="1">
      <c r="A87" s="394"/>
      <c r="B87" s="99"/>
      <c r="C87" s="337" t="s">
        <v>1561</v>
      </c>
      <c r="D87" s="99"/>
      <c r="E87" s="99"/>
      <c r="F87" s="99"/>
      <c r="G87" s="490"/>
      <c r="J87"/>
    </row>
    <row r="88" spans="1:10" s="22" customFormat="1" ht="15" customHeight="1">
      <c r="A88" s="501"/>
      <c r="B88" s="112"/>
      <c r="C88" s="187" t="s">
        <v>1560</v>
      </c>
      <c r="D88" s="112"/>
      <c r="E88" s="112"/>
      <c r="F88" s="112"/>
      <c r="G88" s="504"/>
      <c r="J88"/>
    </row>
    <row r="89" spans="1:10" s="3" customFormat="1" ht="15" customHeight="1">
      <c r="A89" s="394"/>
      <c r="B89" s="99"/>
      <c r="C89" s="99"/>
      <c r="D89" s="99"/>
      <c r="E89" s="99"/>
      <c r="F89" s="99"/>
      <c r="G89" s="490"/>
      <c r="J89"/>
    </row>
    <row r="90" spans="1:10" s="3" customFormat="1" ht="15" customHeight="1">
      <c r="A90" s="394"/>
      <c r="B90" s="661" t="s">
        <v>1281</v>
      </c>
      <c r="C90" s="111" t="s">
        <v>894</v>
      </c>
      <c r="D90" s="1460">
        <f>D27*D62</f>
        <v>550.00000038273799</v>
      </c>
      <c r="E90" s="99" t="s">
        <v>685</v>
      </c>
      <c r="F90" s="361"/>
      <c r="G90" s="490"/>
    </row>
    <row r="91" spans="1:10" s="3" customFormat="1" ht="15" customHeight="1">
      <c r="A91" s="394"/>
      <c r="B91" s="99"/>
      <c r="C91" s="111" t="s">
        <v>1291</v>
      </c>
      <c r="D91" s="1520">
        <f>100/D27*D90</f>
        <v>100.00000006958872</v>
      </c>
      <c r="E91" s="99" t="s">
        <v>699</v>
      </c>
      <c r="F91" s="26"/>
      <c r="G91" s="490"/>
    </row>
    <row r="92" spans="1:10" s="3" customFormat="1" ht="15" customHeight="1">
      <c r="A92" s="394"/>
      <c r="B92" s="661" t="s">
        <v>1282</v>
      </c>
      <c r="C92" s="111" t="s">
        <v>895</v>
      </c>
      <c r="D92" s="1521">
        <f>D28/D62</f>
        <v>545077195984324.06</v>
      </c>
      <c r="E92" s="99" t="s">
        <v>688</v>
      </c>
      <c r="F92" s="311"/>
      <c r="G92" s="490"/>
    </row>
    <row r="93" spans="1:10" s="3" customFormat="1" ht="15" customHeight="1">
      <c r="A93" s="394"/>
      <c r="B93" s="99"/>
      <c r="C93" s="111" t="s">
        <v>1292</v>
      </c>
      <c r="D93" s="1520">
        <f>100/D28*D92</f>
        <v>99.999999930411263</v>
      </c>
      <c r="E93" s="99" t="s">
        <v>699</v>
      </c>
      <c r="F93" s="313"/>
      <c r="G93" s="490"/>
    </row>
    <row r="94" spans="1:10" s="3" customFormat="1" ht="13.2" customHeight="1">
      <c r="A94" s="394"/>
      <c r="B94" s="99"/>
      <c r="C94" s="99"/>
      <c r="D94" s="99"/>
      <c r="E94" s="99"/>
      <c r="F94" s="99"/>
      <c r="G94" s="490"/>
      <c r="J94"/>
    </row>
    <row r="95" spans="1:10" s="3" customFormat="1" ht="13.2" customHeight="1">
      <c r="A95" s="394"/>
      <c r="B95" s="99"/>
      <c r="C95" s="99"/>
      <c r="D95" s="99"/>
      <c r="E95" s="99"/>
      <c r="F95" s="99"/>
      <c r="G95" s="490"/>
      <c r="J95"/>
    </row>
    <row r="96" spans="1:10" s="3" customFormat="1" ht="15" customHeight="1">
      <c r="A96" s="394"/>
      <c r="B96" s="99"/>
      <c r="C96" s="123" t="s">
        <v>1557</v>
      </c>
      <c r="D96" s="99"/>
      <c r="E96" s="99"/>
      <c r="F96" s="99"/>
      <c r="G96" s="490"/>
    </row>
    <row r="97" spans="1:14" s="3" customFormat="1" ht="15" customHeight="1">
      <c r="A97" s="394"/>
      <c r="B97" s="99"/>
      <c r="C97" s="337" t="s">
        <v>1559</v>
      </c>
      <c r="D97" s="99"/>
      <c r="E97" s="99"/>
      <c r="F97" s="99"/>
      <c r="G97" s="490"/>
      <c r="J97"/>
    </row>
    <row r="98" spans="1:14" s="3" customFormat="1" ht="15" customHeight="1">
      <c r="A98" s="394"/>
      <c r="B98" s="99"/>
      <c r="C98" s="337" t="s">
        <v>1558</v>
      </c>
      <c r="D98" s="99"/>
      <c r="E98" s="99"/>
      <c r="F98" s="99"/>
      <c r="G98" s="490"/>
      <c r="J98"/>
    </row>
    <row r="99" spans="1:14" s="3" customFormat="1" ht="13.2" customHeight="1">
      <c r="A99" s="394"/>
      <c r="B99" s="99"/>
      <c r="C99" s="130"/>
      <c r="D99" s="99"/>
      <c r="E99" s="99"/>
      <c r="F99" s="99"/>
      <c r="G99" s="490"/>
    </row>
    <row r="100" spans="1:14" s="3" customFormat="1" ht="15" customHeight="1">
      <c r="A100" s="394"/>
      <c r="B100" s="506" t="s">
        <v>1550</v>
      </c>
      <c r="C100" s="111" t="s">
        <v>1543</v>
      </c>
      <c r="D100" s="1460">
        <f>D27/D62</f>
        <v>549.99999961726201</v>
      </c>
      <c r="E100" s="99" t="s">
        <v>685</v>
      </c>
      <c r="F100" s="311"/>
      <c r="G100" s="490"/>
      <c r="J100"/>
    </row>
    <row r="101" spans="1:14" s="3" customFormat="1" ht="15" customHeight="1">
      <c r="A101" s="394"/>
      <c r="B101" s="99"/>
      <c r="C101" s="111" t="s">
        <v>1544</v>
      </c>
      <c r="D101" s="1520">
        <f>100/D27*D100</f>
        <v>99.999999930411278</v>
      </c>
      <c r="E101" s="99" t="s">
        <v>699</v>
      </c>
      <c r="F101" s="313"/>
      <c r="G101" s="490"/>
    </row>
    <row r="102" spans="1:14" s="3" customFormat="1" ht="15" customHeight="1">
      <c r="A102" s="394"/>
      <c r="B102" s="506" t="s">
        <v>1551</v>
      </c>
      <c r="C102" s="111" t="s">
        <v>1546</v>
      </c>
      <c r="D102" s="1521">
        <f>D28*D62</f>
        <v>545077196742948.69</v>
      </c>
      <c r="E102" s="99" t="s">
        <v>688</v>
      </c>
      <c r="F102" s="13"/>
      <c r="G102" s="490"/>
    </row>
    <row r="103" spans="1:14" s="3" customFormat="1" ht="15" customHeight="1">
      <c r="A103" s="394"/>
      <c r="B103" s="99"/>
      <c r="C103" s="111" t="s">
        <v>1545</v>
      </c>
      <c r="D103" s="1520">
        <f>100/D28*D102</f>
        <v>100.00000006958874</v>
      </c>
      <c r="E103" s="99" t="s">
        <v>699</v>
      </c>
      <c r="F103" s="361"/>
      <c r="G103" s="490"/>
    </row>
    <row r="104" spans="1:14" s="3" customFormat="1" ht="13.2" customHeight="1">
      <c r="A104" s="394"/>
      <c r="B104" s="99"/>
      <c r="C104" s="99"/>
      <c r="D104" s="99"/>
      <c r="E104" s="99"/>
      <c r="F104" s="99"/>
      <c r="G104" s="490"/>
    </row>
    <row r="105" spans="1:14" s="3" customFormat="1" ht="13.2" customHeight="1">
      <c r="A105" s="394"/>
      <c r="B105" s="99"/>
      <c r="C105" s="99"/>
      <c r="D105" s="99"/>
      <c r="E105" s="99"/>
      <c r="F105" s="99"/>
      <c r="G105" s="490"/>
      <c r="J105"/>
    </row>
    <row r="106" spans="1:14" s="3" customFormat="1" ht="15" customHeight="1">
      <c r="A106" s="394"/>
      <c r="B106" s="99"/>
      <c r="C106" s="123" t="s">
        <v>697</v>
      </c>
      <c r="D106" s="99"/>
      <c r="E106" s="99"/>
      <c r="F106" s="99"/>
      <c r="G106" s="490"/>
    </row>
    <row r="107" spans="1:14" s="3" customFormat="1" ht="15" customHeight="1">
      <c r="A107" s="394"/>
      <c r="B107" s="99"/>
      <c r="C107" s="337" t="s">
        <v>698</v>
      </c>
      <c r="D107" s="99"/>
      <c r="E107" s="99"/>
      <c r="F107" s="99"/>
      <c r="G107" s="490"/>
    </row>
    <row r="108" spans="1:14" s="3" customFormat="1" ht="13.2" customHeight="1">
      <c r="A108" s="394"/>
      <c r="B108" s="99"/>
      <c r="C108" s="337"/>
      <c r="D108" s="99"/>
      <c r="E108" s="99"/>
      <c r="F108" s="99"/>
      <c r="G108" s="490"/>
      <c r="H108" s="13"/>
      <c r="I108" s="13"/>
    </row>
    <row r="109" spans="1:14" s="3" customFormat="1" ht="15" customHeight="1">
      <c r="A109" s="394"/>
      <c r="B109" s="168" t="s">
        <v>1309</v>
      </c>
      <c r="C109" s="168" t="s">
        <v>68</v>
      </c>
      <c r="D109" s="1477">
        <f>2*D24/D22</f>
        <v>2.7835491123335306E-9</v>
      </c>
      <c r="E109" s="220" t="s">
        <v>1060</v>
      </c>
      <c r="F109" s="311"/>
      <c r="G109" s="490"/>
      <c r="H109" s="13"/>
      <c r="I109" s="13"/>
      <c r="J109"/>
      <c r="N109"/>
    </row>
    <row r="110" spans="1:14" s="3" customFormat="1" ht="15" customHeight="1">
      <c r="A110" s="394"/>
      <c r="B110" s="206" t="s">
        <v>175</v>
      </c>
      <c r="C110" s="168" t="s">
        <v>68</v>
      </c>
      <c r="D110" s="1477">
        <f>D109*180/PI()</f>
        <v>1.5948561620409797E-7</v>
      </c>
      <c r="E110" s="220" t="s">
        <v>1307</v>
      </c>
      <c r="F110" s="98"/>
      <c r="G110" s="490"/>
      <c r="H110" s="13"/>
      <c r="I110" s="13"/>
      <c r="M110"/>
    </row>
    <row r="111" spans="1:14" s="3" customFormat="1" ht="15" customHeight="1">
      <c r="A111" s="394"/>
      <c r="B111" s="206" t="s">
        <v>71</v>
      </c>
      <c r="C111" s="168" t="s">
        <v>68</v>
      </c>
      <c r="D111" s="1477">
        <f>D110*60</f>
        <v>9.5691369722458787E-6</v>
      </c>
      <c r="E111" s="220" t="s">
        <v>1308</v>
      </c>
      <c r="F111" s="313"/>
      <c r="G111" s="490"/>
      <c r="H111" s="13"/>
      <c r="I111" s="13"/>
    </row>
    <row r="112" spans="1:14" s="3" customFormat="1" ht="15" customHeight="1">
      <c r="A112" s="394"/>
      <c r="B112" s="206" t="s">
        <v>72</v>
      </c>
      <c r="C112" s="168" t="s">
        <v>68</v>
      </c>
      <c r="D112" s="1477">
        <f>D111*60</f>
        <v>5.7414821833475275E-4</v>
      </c>
      <c r="E112" s="220" t="s">
        <v>950</v>
      </c>
      <c r="F112" s="99"/>
      <c r="G112" s="490"/>
      <c r="H112" s="13"/>
      <c r="I112" s="13"/>
      <c r="K112"/>
    </row>
    <row r="113" spans="1:11" s="3" customFormat="1" ht="15" customHeight="1">
      <c r="A113" s="394"/>
      <c r="B113" s="111" t="s">
        <v>1310</v>
      </c>
      <c r="C113" s="168" t="s">
        <v>1306</v>
      </c>
      <c r="D113" s="1520">
        <f>100*D109/(2*D24/D20)</f>
        <v>100</v>
      </c>
      <c r="E113" s="220" t="s">
        <v>699</v>
      </c>
      <c r="F113" s="99"/>
      <c r="G113" s="490"/>
      <c r="H113" s="13"/>
      <c r="I113" s="13"/>
      <c r="J113"/>
      <c r="K113"/>
    </row>
    <row r="114" spans="1:11" s="3" customFormat="1" ht="15" customHeight="1">
      <c r="A114" s="496"/>
      <c r="B114" s="740"/>
      <c r="C114" s="741"/>
      <c r="D114" s="1143"/>
      <c r="E114" s="742"/>
      <c r="F114" s="502"/>
      <c r="G114" s="499"/>
      <c r="H114" s="13"/>
      <c r="I114" s="13"/>
      <c r="J114"/>
      <c r="K114"/>
    </row>
    <row r="115" spans="1:11" s="3" customFormat="1" ht="15" customHeight="1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11" s="3" customFormat="1" ht="15" customHeight="1">
      <c r="A116" s="13"/>
      <c r="B116" s="13"/>
      <c r="C116" s="13"/>
      <c r="D116" s="13"/>
      <c r="E116" s="13"/>
      <c r="F116" s="20"/>
      <c r="G116" s="13"/>
      <c r="H116" s="13"/>
      <c r="I116" s="13"/>
      <c r="J116"/>
    </row>
    <row r="117" spans="1:11" s="3" customFormat="1" ht="15" customHeight="1"/>
    <row r="118" spans="1:11" s="3" customFormat="1" ht="15" customHeight="1">
      <c r="C118" s="16"/>
    </row>
    <row r="119" spans="1:11" s="3" customFormat="1" ht="15" customHeight="1"/>
    <row r="120" spans="1:11" s="3" customFormat="1" ht="15" customHeight="1"/>
    <row r="121" spans="1:11" s="3" customFormat="1" ht="15" customHeight="1"/>
    <row r="122" spans="1:11" s="3" customFormat="1" ht="15" customHeight="1"/>
    <row r="123" spans="1:11" s="3" customFormat="1" ht="15" customHeight="1"/>
    <row r="124" spans="1:11" s="3" customFormat="1" ht="15" customHeight="1"/>
    <row r="125" spans="1:11" s="3" customFormat="1" ht="15" customHeight="1"/>
    <row r="126" spans="1:11" s="3" customFormat="1" ht="15" customHeight="1"/>
    <row r="127" spans="1:11" s="3" customFormat="1" ht="15" customHeight="1"/>
    <row r="128" spans="1:11" s="3" customFormat="1" ht="13.8"/>
    <row r="129" s="3" customFormat="1" ht="13.8"/>
    <row r="130" s="3" customFormat="1" ht="13.8"/>
    <row r="131" s="3" customFormat="1" ht="13.8"/>
    <row r="132" s="3" customFormat="1" ht="13.8"/>
    <row r="133" s="3" customFormat="1" ht="13.8"/>
    <row r="134" s="3" customFormat="1" ht="13.8"/>
    <row r="135" s="3" customFormat="1" ht="13.8"/>
    <row r="136" s="3" customFormat="1" ht="13.8"/>
    <row r="137" s="3" customFormat="1" ht="13.8"/>
    <row r="138" s="3" customFormat="1" ht="13.8"/>
    <row r="139" s="3" customFormat="1" ht="13.8"/>
    <row r="140" s="3" customFormat="1" ht="13.8"/>
    <row r="141" s="3" customFormat="1" ht="13.8"/>
    <row r="142" s="3" customFormat="1" ht="13.8"/>
    <row r="143" s="3" customFormat="1" ht="13.8"/>
    <row r="144" s="3" customFormat="1" ht="13.8"/>
  </sheetData>
  <sheetProtection password="CEBA" sheet="1" objects="1" scenarios="1"/>
  <pageMargins left="0" right="0" top="0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12</vt:i4>
      </vt:variant>
    </vt:vector>
  </HeadingPairs>
  <TitlesOfParts>
    <vt:vector size="28" baseType="lpstr">
      <vt:lpstr>Sammelsurium</vt:lpstr>
      <vt:lpstr>Phys. Konstanten</vt:lpstr>
      <vt:lpstr>Tempolimit</vt:lpstr>
      <vt:lpstr>Zwillings-Paradoxon</vt:lpstr>
      <vt:lpstr>Lorentz-T.</vt:lpstr>
      <vt:lpstr>Fernreisen</vt:lpstr>
      <vt:lpstr>ART</vt:lpstr>
      <vt:lpstr>Tabelle8</vt:lpstr>
      <vt:lpstr>Tabelle1</vt:lpstr>
      <vt:lpstr>TÜV-Hessen</vt:lpstr>
      <vt:lpstr>Astronomie</vt:lpstr>
      <vt:lpstr>Atomphysik</vt:lpstr>
      <vt:lpstr>Galilei</vt:lpstr>
      <vt:lpstr>Kepler - Newton</vt:lpstr>
      <vt:lpstr>Tabelle2</vt:lpstr>
      <vt:lpstr>Tabelle3</vt:lpstr>
      <vt:lpstr>Astronomie!Druckbereich</vt:lpstr>
      <vt:lpstr>Atomphysik!Druckbereich</vt:lpstr>
      <vt:lpstr>Fernreisen!Druckbereich</vt:lpstr>
      <vt:lpstr>Galilei!Druckbereich</vt:lpstr>
      <vt:lpstr>'Kepler - Newton'!Druckbereich</vt:lpstr>
      <vt:lpstr>'Lorentz-T.'!Druckbereich</vt:lpstr>
      <vt:lpstr>'Phys. Konstanten'!Druckbereich</vt:lpstr>
      <vt:lpstr>Sammelsurium!Druckbereich</vt:lpstr>
      <vt:lpstr>Tempolimit!Druckbereich</vt:lpstr>
      <vt:lpstr>'TÜV-Hessen'!Druckbereich</vt:lpstr>
      <vt:lpstr>'Zwillings-Paradoxon'!Druckbereich</vt:lpstr>
      <vt:lpstr>Atomphysik!OLE_LINK2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Athlon 64</dc:creator>
  <cp:lastModifiedBy>ML&amp;H-Schneider</cp:lastModifiedBy>
  <cp:lastPrinted>2026-04-26T15:35:25Z</cp:lastPrinted>
  <dcterms:created xsi:type="dcterms:W3CDTF">2015-12-18T21:09:22Z</dcterms:created>
  <dcterms:modified xsi:type="dcterms:W3CDTF">2026-04-26T16:30:24Z</dcterms:modified>
</cp:coreProperties>
</file>